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‏‏للنشر - نسخة\قانونية\"/>
    </mc:Choice>
  </mc:AlternateContent>
  <xr:revisionPtr revIDLastSave="0" documentId="13_ncr:1_{1AE4C425-B3ED-4FC1-A4DA-6E842CF8FCF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تعليمات التسجيل" sheetId="14" r:id="rId1"/>
    <sheet name="أسماء الطلاب" sheetId="16" r:id="rId2"/>
    <sheet name="إدخال البيانات" sheetId="15" r:id="rId3"/>
    <sheet name="اختيار المقررات" sheetId="5" r:id="rId4"/>
    <sheet name="الإستمارة" sheetId="11" r:id="rId5"/>
    <sheet name="21-22-قانونية" sheetId="2" r:id="rId6"/>
    <sheet name="ورقة4" sheetId="10" r:id="rId7"/>
    <sheet name="ورقة2" sheetId="4" r:id="rId8"/>
  </sheets>
  <definedNames>
    <definedName name="_xlnm._FilterDatabase" localSheetId="5" hidden="1">'21-22-قانونية'!#REF!</definedName>
    <definedName name="_xlnm._FilterDatabase" localSheetId="3" hidden="1">'اختيار المقررات'!$BF$5:$BG$5</definedName>
    <definedName name="_xlnm._FilterDatabase" localSheetId="2" hidden="1">'إدخال البيانات'!$I$4:$I$19</definedName>
    <definedName name="_xlnm._FilterDatabase" localSheetId="7" hidden="1">ورقة2!$A$2:$Z$2</definedName>
    <definedName name="_xlnm._FilterDatabase" localSheetId="6" hidden="1">ورقة4!$A$1:$AZ$1</definedName>
    <definedName name="_xlnm.Print_Area" localSheetId="4">الإستمارة!$B$1:$R$43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1" l="1"/>
  <c r="J23" i="11"/>
  <c r="N22" i="11"/>
  <c r="K22" i="11"/>
  <c r="E22" i="11"/>
  <c r="GF5" i="2"/>
  <c r="FQ5" i="2"/>
  <c r="FK5" i="2"/>
  <c r="FJ5" i="2"/>
  <c r="FI5" i="2"/>
  <c r="FH5" i="2"/>
  <c r="D1" i="15" l="1"/>
  <c r="J24" i="11"/>
  <c r="G40" i="11"/>
  <c r="AE22" i="11"/>
  <c r="AE4" i="5"/>
  <c r="O5" i="2" s="1"/>
  <c r="AB4" i="5"/>
  <c r="N5" i="2" s="1"/>
  <c r="W4" i="5"/>
  <c r="M5" i="2" s="1"/>
  <c r="W2" i="5"/>
  <c r="J3" i="11" s="1"/>
  <c r="Z6" i="11" s="1"/>
  <c r="Y6" i="11" s="1"/>
  <c r="Q2" i="5"/>
  <c r="H2" i="5"/>
  <c r="GA5" i="2" s="1"/>
  <c r="E1" i="5"/>
  <c r="Z28" i="5" s="1"/>
  <c r="C5" i="15"/>
  <c r="AB2" i="5" s="1"/>
  <c r="E2" i="5" l="1"/>
  <c r="A2" i="15" s="1"/>
  <c r="W1" i="5"/>
  <c r="Q1" i="5"/>
  <c r="Q4" i="5"/>
  <c r="L4" i="5"/>
  <c r="P6" i="11" s="1"/>
  <c r="Z19" i="11" s="1"/>
  <c r="Y19" i="11" s="1"/>
  <c r="E4" i="5"/>
  <c r="E3" i="5"/>
  <c r="I5" i="2" s="1"/>
  <c r="AE1" i="5"/>
  <c r="C39" i="5"/>
  <c r="C38" i="5"/>
  <c r="AB1" i="5"/>
  <c r="K7" i="11"/>
  <c r="Z22" i="11" s="1"/>
  <c r="Y22" i="11" s="1"/>
  <c r="D7" i="11"/>
  <c r="Z20" i="11" s="1"/>
  <c r="Y20" i="11" s="1"/>
  <c r="H7" i="11"/>
  <c r="Z21" i="11" s="1"/>
  <c r="Y21" i="11" s="1"/>
  <c r="N4" i="11"/>
  <c r="Z11" i="11" s="1"/>
  <c r="Y11" i="11" s="1"/>
  <c r="FX5" i="2"/>
  <c r="FY5" i="2"/>
  <c r="N3" i="11"/>
  <c r="Z5" i="11" s="1"/>
  <c r="Y5" i="11" s="1"/>
  <c r="C37" i="5"/>
  <c r="C35" i="5"/>
  <c r="L3" i="5"/>
  <c r="F3" i="11"/>
  <c r="Z7" i="11" s="1"/>
  <c r="Y7" i="11" s="1"/>
  <c r="FZ5" i="2"/>
  <c r="C36" i="5"/>
  <c r="A5" i="2"/>
  <c r="L1" i="5"/>
  <c r="D2" i="11"/>
  <c r="E35" i="11" s="1"/>
  <c r="E40" i="11" s="1"/>
  <c r="B6" i="5" l="1"/>
  <c r="AE3" i="5"/>
  <c r="H2" i="11"/>
  <c r="B5" i="2"/>
  <c r="M2" i="11"/>
  <c r="Z3" i="11" s="1"/>
  <c r="Y3" i="11" s="1"/>
  <c r="C5" i="2"/>
  <c r="H4" i="11"/>
  <c r="Z9" i="11" s="1"/>
  <c r="Y9" i="11" s="1"/>
  <c r="F5" i="2"/>
  <c r="K6" i="11"/>
  <c r="Z18" i="11" s="1"/>
  <c r="Y18" i="11" s="1"/>
  <c r="K5" i="2"/>
  <c r="R5" i="2"/>
  <c r="Q5" i="2"/>
  <c r="H6" i="11"/>
  <c r="Z17" i="11" s="1"/>
  <c r="Y17" i="11" s="1"/>
  <c r="P5" i="2"/>
  <c r="D5" i="11"/>
  <c r="Z12" i="11" s="1"/>
  <c r="Y12" i="11" s="1"/>
  <c r="J5" i="2"/>
  <c r="K4" i="11"/>
  <c r="Z10" i="11" s="1"/>
  <c r="Y10" i="11" s="1"/>
  <c r="E5" i="2"/>
  <c r="P2" i="11"/>
  <c r="Z4" i="11" s="1"/>
  <c r="Y4" i="11" s="1"/>
  <c r="D5" i="2"/>
  <c r="D3" i="11"/>
  <c r="S5" i="2"/>
  <c r="B29" i="5"/>
  <c r="C29" i="5" s="1"/>
  <c r="B31" i="5"/>
  <c r="C31" i="5" s="1"/>
  <c r="B30" i="5"/>
  <c r="C30" i="5" s="1"/>
  <c r="B32" i="5"/>
  <c r="C32" i="5" s="1"/>
  <c r="B30" i="11" s="1"/>
  <c r="B28" i="5"/>
  <c r="AB3" i="5"/>
  <c r="D4" i="11"/>
  <c r="W3" i="5"/>
  <c r="P5" i="11" s="1"/>
  <c r="Z15" i="11" s="1"/>
  <c r="Y15" i="11" s="1"/>
  <c r="Q3" i="5"/>
  <c r="W27" i="5" l="1"/>
  <c r="AD27" i="5" s="1"/>
  <c r="GC5" i="2"/>
  <c r="G28" i="11"/>
  <c r="GD5" i="2"/>
  <c r="B29" i="11"/>
  <c r="GE5" i="2"/>
  <c r="G29" i="11"/>
  <c r="H5" i="11"/>
  <c r="Z13" i="11" s="1"/>
  <c r="Y13" i="11" s="1"/>
  <c r="H5" i="2"/>
  <c r="D6" i="11"/>
  <c r="Z16" i="11" s="1"/>
  <c r="Y16" i="11" s="1"/>
  <c r="L5" i="2"/>
  <c r="K5" i="11"/>
  <c r="Z14" i="11" s="1"/>
  <c r="Y14" i="11" s="1"/>
  <c r="G5" i="2"/>
  <c r="C28" i="5"/>
  <c r="B35" i="11"/>
  <c r="B40" i="11" s="1"/>
  <c r="Z8" i="11"/>
  <c r="Y8" i="11" s="1"/>
  <c r="H34" i="11"/>
  <c r="H39" i="11" s="1"/>
  <c r="GB5" i="2" l="1"/>
  <c r="B28" i="11"/>
  <c r="B27" i="11" s="1"/>
  <c r="FL5" i="2"/>
  <c r="E24" i="11"/>
  <c r="AA6" i="11"/>
  <c r="AE6" i="11" s="1"/>
  <c r="AA3" i="11"/>
  <c r="AA13" i="11"/>
  <c r="AE13" i="11" s="1"/>
  <c r="AA14" i="11"/>
  <c r="AE14" i="11" s="1"/>
  <c r="AA4" i="11"/>
  <c r="AE4" i="11" s="1"/>
  <c r="AA21" i="11"/>
  <c r="AE21" i="11" s="1"/>
  <c r="AA17" i="11"/>
  <c r="AE17" i="11" s="1"/>
  <c r="AA11" i="11"/>
  <c r="AE11" i="11" s="1"/>
  <c r="AA18" i="11"/>
  <c r="AE18" i="11" s="1"/>
  <c r="AA12" i="11"/>
  <c r="AE12" i="11" s="1"/>
  <c r="AA9" i="11"/>
  <c r="AE9" i="11" s="1"/>
  <c r="AA19" i="11"/>
  <c r="AE19" i="11" s="1"/>
  <c r="AA7" i="11"/>
  <c r="AE7" i="11" s="1"/>
  <c r="AA20" i="11"/>
  <c r="AE20" i="11" s="1"/>
  <c r="AA8" i="11"/>
  <c r="AE8" i="11" s="1"/>
  <c r="AA15" i="11"/>
  <c r="AE15" i="11" s="1"/>
  <c r="AA5" i="11"/>
  <c r="AE5" i="11" s="1"/>
  <c r="AA10" i="11"/>
  <c r="AE10" i="11" s="1"/>
  <c r="AA16" i="11"/>
  <c r="AE16" i="11" s="1"/>
  <c r="AE3" i="11" l="1"/>
  <c r="AJ1" i="11"/>
  <c r="AD1" i="11" l="1"/>
  <c r="B8" i="11" s="1"/>
  <c r="AK1" i="5"/>
  <c r="N27" i="5"/>
  <c r="FN5" i="2" l="1"/>
  <c r="AG22" i="5"/>
  <c r="AA22" i="5" s="1"/>
  <c r="Y22" i="5"/>
  <c r="S22" i="5" s="1"/>
  <c r="Q22" i="5"/>
  <c r="K22" i="5" s="1"/>
  <c r="AG21" i="5"/>
  <c r="AA21" i="5" s="1"/>
  <c r="Y21" i="5"/>
  <c r="S21" i="5" s="1"/>
  <c r="Q21" i="5"/>
  <c r="K21" i="5" s="1"/>
  <c r="AG20" i="5"/>
  <c r="AA20" i="5" s="1"/>
  <c r="Y20" i="5"/>
  <c r="S20" i="5" s="1"/>
  <c r="Q20" i="5"/>
  <c r="K20" i="5" s="1"/>
  <c r="AG19" i="5"/>
  <c r="AA19" i="5" s="1"/>
  <c r="Y19" i="5"/>
  <c r="S19" i="5" s="1"/>
  <c r="Q19" i="5"/>
  <c r="K19" i="5" s="1"/>
  <c r="AG18" i="5"/>
  <c r="AA18" i="5" s="1"/>
  <c r="Y18" i="5"/>
  <c r="S18" i="5" s="1"/>
  <c r="Q18" i="5"/>
  <c r="K18" i="5" s="1"/>
  <c r="AG17" i="5"/>
  <c r="Y17" i="5"/>
  <c r="Q17" i="5"/>
  <c r="AG13" i="5"/>
  <c r="AA13" i="5" s="1"/>
  <c r="Y13" i="5"/>
  <c r="S13" i="5" s="1"/>
  <c r="Q13" i="5"/>
  <c r="K13" i="5" s="1"/>
  <c r="AG12" i="5"/>
  <c r="AA12" i="5" s="1"/>
  <c r="Y12" i="5"/>
  <c r="S12" i="5" s="1"/>
  <c r="Q12" i="5"/>
  <c r="K12" i="5" s="1"/>
  <c r="AG11" i="5"/>
  <c r="AA11" i="5" s="1"/>
  <c r="Y11" i="5"/>
  <c r="S11" i="5" s="1"/>
  <c r="Q11" i="5"/>
  <c r="K11" i="5" s="1"/>
  <c r="AG10" i="5"/>
  <c r="AA10" i="5" s="1"/>
  <c r="Y10" i="5"/>
  <c r="S10" i="5" s="1"/>
  <c r="Q10" i="5"/>
  <c r="K10" i="5" s="1"/>
  <c r="AG9" i="5"/>
  <c r="AA9" i="5" s="1"/>
  <c r="Y9" i="5"/>
  <c r="S9" i="5" s="1"/>
  <c r="Q9" i="5"/>
  <c r="K9" i="5" s="1"/>
  <c r="AG8" i="5"/>
  <c r="Y8" i="5"/>
  <c r="Q8" i="5"/>
  <c r="I23" i="5"/>
  <c r="B23" i="5" s="1"/>
  <c r="I22" i="5"/>
  <c r="B22" i="5" s="1"/>
  <c r="I21" i="5"/>
  <c r="B21" i="5" s="1"/>
  <c r="I20" i="5"/>
  <c r="B20" i="5" s="1"/>
  <c r="I19" i="5"/>
  <c r="B19" i="5" s="1"/>
  <c r="I18" i="5"/>
  <c r="B18" i="5" s="1"/>
  <c r="I17" i="5"/>
  <c r="I14" i="5"/>
  <c r="B14" i="5" s="1"/>
  <c r="I13" i="5"/>
  <c r="B13" i="5" s="1"/>
  <c r="I12" i="5"/>
  <c r="B12" i="5" s="1"/>
  <c r="I11" i="5"/>
  <c r="B11" i="5" s="1"/>
  <c r="I10" i="5"/>
  <c r="B10" i="5" s="1"/>
  <c r="I9" i="5"/>
  <c r="B9" i="5" s="1"/>
  <c r="I8" i="5"/>
  <c r="AG24" i="5" l="1"/>
  <c r="AF24" i="5"/>
  <c r="AE24" i="5"/>
  <c r="AA17" i="5"/>
  <c r="K8" i="5"/>
  <c r="Q15" i="5"/>
  <c r="P15" i="5"/>
  <c r="O15" i="5"/>
  <c r="I24" i="5"/>
  <c r="B17" i="5"/>
  <c r="H24" i="5"/>
  <c r="G24" i="5"/>
  <c r="X15" i="5"/>
  <c r="W15" i="5"/>
  <c r="Y15" i="5"/>
  <c r="S8" i="5"/>
  <c r="B8" i="5"/>
  <c r="I15" i="5"/>
  <c r="H15" i="5"/>
  <c r="G15" i="5"/>
  <c r="AG15" i="5"/>
  <c r="AF15" i="5"/>
  <c r="AE15" i="5"/>
  <c r="AA8" i="5"/>
  <c r="Q24" i="5"/>
  <c r="P24" i="5"/>
  <c r="O24" i="5"/>
  <c r="K17" i="5"/>
  <c r="W24" i="5"/>
  <c r="Y24" i="5"/>
  <c r="S17" i="5"/>
  <c r="X24" i="5"/>
  <c r="AY46" i="5"/>
  <c r="AY8" i="5"/>
  <c r="AY22" i="5"/>
  <c r="AY38" i="5"/>
  <c r="AY35" i="5"/>
  <c r="AY26" i="5"/>
  <c r="AY52" i="5"/>
  <c r="AY32" i="5"/>
  <c r="AY9" i="5"/>
  <c r="AY23" i="5"/>
  <c r="AY14" i="5"/>
  <c r="AY41" i="5"/>
  <c r="AY44" i="5"/>
  <c r="AY29" i="5"/>
  <c r="AY7" i="5"/>
  <c r="AY16" i="5"/>
  <c r="AY10" i="5"/>
  <c r="AY24" i="5"/>
  <c r="AY33" i="5"/>
  <c r="AY17" i="5"/>
  <c r="AY50" i="5"/>
  <c r="AY47" i="5"/>
  <c r="AY21" i="5"/>
  <c r="AY11" i="5"/>
  <c r="AY12" i="5"/>
  <c r="AY39" i="5"/>
  <c r="AY36" i="5"/>
  <c r="AY27" i="5"/>
  <c r="AY53" i="5"/>
  <c r="AY49" i="5"/>
  <c r="AY18" i="5"/>
  <c r="AY31" i="5"/>
  <c r="AY15" i="5"/>
  <c r="AY42" i="5"/>
  <c r="AY45" i="5"/>
  <c r="AY30" i="5"/>
  <c r="AY19" i="5"/>
  <c r="AY37" i="5"/>
  <c r="AY34" i="5"/>
  <c r="AY25" i="5"/>
  <c r="AY51" i="5"/>
  <c r="AY48" i="5"/>
  <c r="AY5" i="5"/>
  <c r="AY6" i="5"/>
  <c r="AY20" i="5"/>
  <c r="AY13" i="5"/>
  <c r="AY40" i="5"/>
  <c r="AY43" i="5"/>
  <c r="AY28" i="5"/>
  <c r="AY54" i="5"/>
  <c r="T6" i="5" l="1"/>
  <c r="W23" i="11" l="1"/>
  <c r="C27" i="5" l="1"/>
  <c r="J8" i="5" l="1"/>
  <c r="U24" i="11"/>
  <c r="W30" i="11" s="1"/>
  <c r="U23" i="11"/>
  <c r="W31" i="11" s="1"/>
  <c r="U22" i="11"/>
  <c r="W29" i="11" s="1"/>
  <c r="U25" i="11"/>
  <c r="W34" i="11" s="1"/>
  <c r="B1" i="11"/>
  <c r="FM5" i="2" l="1"/>
  <c r="E23" i="11"/>
  <c r="AQ5" i="2"/>
  <c r="AO5" i="2"/>
  <c r="AM5" i="2"/>
  <c r="AK5" i="2"/>
  <c r="AI5" i="2"/>
  <c r="AG5" i="2"/>
  <c r="AE5" i="2"/>
  <c r="AC5" i="2"/>
  <c r="AA5" i="2"/>
  <c r="Y5" i="2"/>
  <c r="W5" i="2"/>
  <c r="U5" i="2"/>
  <c r="AX50" i="5" l="1"/>
  <c r="AX51" i="5"/>
  <c r="AX52" i="5"/>
  <c r="AX53" i="5"/>
  <c r="AX54" i="5"/>
  <c r="AX49" i="5"/>
  <c r="AX44" i="5"/>
  <c r="AX45" i="5"/>
  <c r="AX46" i="5"/>
  <c r="AX47" i="5"/>
  <c r="AX48" i="5"/>
  <c r="AX43" i="5"/>
  <c r="AX38" i="5"/>
  <c r="AX39" i="5"/>
  <c r="AX40" i="5"/>
  <c r="AX41" i="5"/>
  <c r="AX42" i="5"/>
  <c r="AX37" i="5"/>
  <c r="AX32" i="5"/>
  <c r="AX33" i="5"/>
  <c r="AX34" i="5"/>
  <c r="AX35" i="5"/>
  <c r="AX36" i="5"/>
  <c r="AX31" i="5"/>
  <c r="AX26" i="5"/>
  <c r="AX27" i="5"/>
  <c r="AX28" i="5"/>
  <c r="AX29" i="5"/>
  <c r="AX30" i="5"/>
  <c r="AX25" i="5"/>
  <c r="AX20" i="5"/>
  <c r="AX21" i="5"/>
  <c r="AX22" i="5"/>
  <c r="AX23" i="5"/>
  <c r="AX24" i="5"/>
  <c r="AX19" i="5"/>
  <c r="AX13" i="5"/>
  <c r="AX14" i="5"/>
  <c r="AX15" i="5"/>
  <c r="AX16" i="5"/>
  <c r="AX17" i="5"/>
  <c r="AX12" i="5"/>
  <c r="AX6" i="5"/>
  <c r="AX7" i="5"/>
  <c r="AX8" i="5"/>
  <c r="AX9" i="5"/>
  <c r="AX10" i="5"/>
  <c r="AX11" i="5"/>
  <c r="AX5" i="5"/>
  <c r="AX18" i="5"/>
  <c r="A23" i="5"/>
  <c r="AL27" i="5" s="1"/>
  <c r="Z22" i="5"/>
  <c r="AL57" i="5" s="1"/>
  <c r="Z17" i="5"/>
  <c r="Z21" i="5"/>
  <c r="AL56" i="5" s="1"/>
  <c r="Z20" i="5"/>
  <c r="AL55" i="5" s="1"/>
  <c r="Z19" i="5"/>
  <c r="AL54" i="5" s="1"/>
  <c r="Z18" i="5"/>
  <c r="AL53" i="5" s="1"/>
  <c r="R22" i="5"/>
  <c r="AL51" i="5" s="1"/>
  <c r="R21" i="5"/>
  <c r="AL50" i="5" s="1"/>
  <c r="R20" i="5"/>
  <c r="AL49" i="5" s="1"/>
  <c r="R19" i="5"/>
  <c r="AL48" i="5" s="1"/>
  <c r="R18" i="5"/>
  <c r="AL47" i="5" s="1"/>
  <c r="R17" i="5"/>
  <c r="Z13" i="5"/>
  <c r="AL45" i="5" s="1"/>
  <c r="Z12" i="5"/>
  <c r="AL44" i="5" s="1"/>
  <c r="Z11" i="5"/>
  <c r="AL43" i="5" s="1"/>
  <c r="Z10" i="5"/>
  <c r="AL42" i="5" s="1"/>
  <c r="Z9" i="5"/>
  <c r="AL41" i="5" s="1"/>
  <c r="Z8" i="5"/>
  <c r="R13" i="5"/>
  <c r="AL39" i="5" s="1"/>
  <c r="R12" i="5"/>
  <c r="AL38" i="5" s="1"/>
  <c r="R11" i="5"/>
  <c r="AL37" i="5" s="1"/>
  <c r="R10" i="5"/>
  <c r="AL36" i="5" s="1"/>
  <c r="R9" i="5"/>
  <c r="AL35" i="5" s="1"/>
  <c r="R8" i="5"/>
  <c r="AW54" i="5"/>
  <c r="AW42" i="5"/>
  <c r="AW30" i="5"/>
  <c r="AW17" i="5"/>
  <c r="L13" i="5"/>
  <c r="L22" i="5"/>
  <c r="AV30" i="5" s="1"/>
  <c r="AB13" i="5"/>
  <c r="AV42" i="5" s="1"/>
  <c r="AB22" i="5"/>
  <c r="AV54" i="5" s="1"/>
  <c r="AV17" i="5" l="1"/>
  <c r="J22" i="5"/>
  <c r="AL33" i="5" s="1"/>
  <c r="J21" i="5"/>
  <c r="AL32" i="5" s="1"/>
  <c r="J20" i="5"/>
  <c r="AL31" i="5" s="1"/>
  <c r="J19" i="5"/>
  <c r="AL30" i="5" s="1"/>
  <c r="J18" i="5"/>
  <c r="AL29" i="5" s="1"/>
  <c r="J17" i="5"/>
  <c r="AL28" i="5" s="1"/>
  <c r="J13" i="5"/>
  <c r="AL20" i="5" s="1"/>
  <c r="A22" i="5"/>
  <c r="AL26" i="5" s="1"/>
  <c r="A21" i="5"/>
  <c r="AL25" i="5" s="1"/>
  <c r="A20" i="5"/>
  <c r="AL24" i="5" s="1"/>
  <c r="A19" i="5"/>
  <c r="AL23" i="5" s="1"/>
  <c r="A18" i="5"/>
  <c r="AL22" i="5" s="1"/>
  <c r="A17" i="5"/>
  <c r="AL21" i="5" s="1"/>
  <c r="J12" i="5"/>
  <c r="AL19" i="5" s="1"/>
  <c r="J11" i="5"/>
  <c r="AL18" i="5" s="1"/>
  <c r="J10" i="5"/>
  <c r="AL17" i="5" s="1"/>
  <c r="J9" i="5"/>
  <c r="AL16" i="5" s="1"/>
  <c r="A14" i="5"/>
  <c r="AL14" i="5" s="1"/>
  <c r="A8" i="5"/>
  <c r="FG5" i="2" l="1"/>
  <c r="FE5" i="2"/>
  <c r="FC5" i="2"/>
  <c r="DM5" i="2"/>
  <c r="AY5" i="2"/>
  <c r="DK5" i="2"/>
  <c r="AW5" i="2"/>
  <c r="FA5" i="2"/>
  <c r="EW5" i="2"/>
  <c r="CM5" i="2"/>
  <c r="AU5" i="2"/>
  <c r="CC5" i="2"/>
  <c r="DO5" i="2"/>
  <c r="DY5" i="2"/>
  <c r="CK5" i="2"/>
  <c r="AS5" i="2"/>
  <c r="CI5" i="2"/>
  <c r="BA5" i="2"/>
  <c r="DW5" i="2"/>
  <c r="DU5" i="2"/>
  <c r="CG5" i="2"/>
  <c r="DQ5" i="2"/>
  <c r="BY5" i="2"/>
  <c r="EI5" i="2"/>
  <c r="DC5" i="2"/>
  <c r="CS5" i="2"/>
  <c r="DS5" i="2"/>
  <c r="EG5" i="2"/>
  <c r="CU5" i="2"/>
  <c r="CE5" i="2"/>
  <c r="BU5" i="2"/>
  <c r="EC5" i="2"/>
  <c r="EQ5" i="2"/>
  <c r="BI5" i="2"/>
  <c r="DG5" i="2"/>
  <c r="BM5" i="2"/>
  <c r="DE5" i="2"/>
  <c r="EO5" i="2"/>
  <c r="DA5" i="2"/>
  <c r="BQ5" i="2"/>
  <c r="BG5" i="2"/>
  <c r="BW5" i="2"/>
  <c r="EA5" i="2"/>
  <c r="CW5" i="2"/>
  <c r="CA5" i="2"/>
  <c r="EM5" i="2"/>
  <c r="BO5" i="2"/>
  <c r="BS5" i="2"/>
  <c r="CO5" i="2"/>
  <c r="EU5" i="2"/>
  <c r="CQ5" i="2"/>
  <c r="BC5" i="2"/>
  <c r="EE5" i="2"/>
  <c r="EY5" i="2"/>
  <c r="BK5" i="2"/>
  <c r="ES5" i="2"/>
  <c r="DI5" i="2"/>
  <c r="CY5" i="2"/>
  <c r="EK5" i="2"/>
  <c r="BE5" i="2"/>
  <c r="A10" i="5" l="1"/>
  <c r="AL10" i="5" s="1"/>
  <c r="A13" i="5"/>
  <c r="AL13" i="5" s="1"/>
  <c r="A11" i="5"/>
  <c r="AL11" i="5" s="1"/>
  <c r="A9" i="5"/>
  <c r="AL9" i="5" s="1"/>
  <c r="A12" i="5"/>
  <c r="AL12" i="5" s="1"/>
  <c r="K24" i="5"/>
  <c r="K15" i="5"/>
  <c r="S24" i="5"/>
  <c r="B24" i="5"/>
  <c r="V30" i="5" l="1"/>
  <c r="AB30" i="5"/>
  <c r="AG30" i="5"/>
  <c r="B15" i="5"/>
  <c r="FU5" i="2" l="1"/>
  <c r="K21" i="11"/>
  <c r="FV5" i="2"/>
  <c r="Q21" i="11"/>
  <c r="FT5" i="2"/>
  <c r="F21" i="11"/>
  <c r="AL46" i="5"/>
  <c r="AL34" i="5"/>
  <c r="AL8" i="5"/>
  <c r="AL52" i="5"/>
  <c r="AL40" i="5"/>
  <c r="AL15" i="5"/>
  <c r="FW5" i="2" l="1"/>
  <c r="V16" i="11"/>
  <c r="B17" i="11" s="1"/>
  <c r="V15" i="11"/>
  <c r="B16" i="11" s="1"/>
  <c r="V19" i="11"/>
  <c r="J12" i="11" s="1"/>
  <c r="V23" i="11"/>
  <c r="J16" i="11" s="1"/>
  <c r="V28" i="11"/>
  <c r="V34" i="11"/>
  <c r="V38" i="11"/>
  <c r="V42" i="11"/>
  <c r="V46" i="11"/>
  <c r="V29" i="11"/>
  <c r="V43" i="11"/>
  <c r="V14" i="11"/>
  <c r="B15" i="11" s="1"/>
  <c r="V18" i="11"/>
  <c r="B19" i="11" s="1"/>
  <c r="V22" i="11"/>
  <c r="J15" i="11" s="1"/>
  <c r="V27" i="11"/>
  <c r="J19" i="11" s="1"/>
  <c r="V31" i="11"/>
  <c r="V37" i="11"/>
  <c r="V41" i="11"/>
  <c r="V45" i="11"/>
  <c r="V49" i="11"/>
  <c r="V24" i="11"/>
  <c r="J17" i="11" s="1"/>
  <c r="V39" i="11"/>
  <c r="V13" i="11"/>
  <c r="B14" i="11" s="1"/>
  <c r="V17" i="11"/>
  <c r="B18" i="11" s="1"/>
  <c r="V21" i="11"/>
  <c r="J14" i="11" s="1"/>
  <c r="V26" i="11"/>
  <c r="J18" i="11" s="1"/>
  <c r="V30" i="11"/>
  <c r="V36" i="11"/>
  <c r="V40" i="11"/>
  <c r="V44" i="11"/>
  <c r="V48" i="11"/>
  <c r="V12" i="11"/>
  <c r="B13" i="11" s="1"/>
  <c r="V20" i="11"/>
  <c r="J13" i="11" s="1"/>
  <c r="V35" i="11"/>
  <c r="V47" i="11"/>
  <c r="V11" i="11"/>
  <c r="B12" i="11" s="1"/>
  <c r="P19" i="11" l="1"/>
  <c r="K19" i="11"/>
  <c r="L19" i="11"/>
  <c r="Q19" i="11"/>
  <c r="L18" i="11"/>
  <c r="P18" i="11"/>
  <c r="K18" i="11"/>
  <c r="Q18" i="11"/>
  <c r="P15" i="11"/>
  <c r="L15" i="11"/>
  <c r="K15" i="11"/>
  <c r="C17" i="11"/>
  <c r="H17" i="11"/>
  <c r="D17" i="11"/>
  <c r="C12" i="11"/>
  <c r="H12" i="11"/>
  <c r="T1" i="11" s="1"/>
  <c r="D12" i="11"/>
  <c r="D16" i="11"/>
  <c r="C16" i="11"/>
  <c r="H16" i="11"/>
  <c r="L14" i="11"/>
  <c r="K14" i="11"/>
  <c r="P14" i="11"/>
  <c r="H19" i="11"/>
  <c r="I19" i="11"/>
  <c r="D19" i="11"/>
  <c r="C19" i="11"/>
  <c r="K13" i="11"/>
  <c r="P13" i="11"/>
  <c r="L13" i="11"/>
  <c r="D18" i="11"/>
  <c r="I18" i="11"/>
  <c r="H18" i="11"/>
  <c r="C18" i="11"/>
  <c r="D14" i="11"/>
  <c r="C14" i="11"/>
  <c r="H14" i="11"/>
  <c r="L12" i="11"/>
  <c r="P12" i="11"/>
  <c r="K12" i="11"/>
  <c r="H15" i="11"/>
  <c r="C15" i="11"/>
  <c r="D15" i="11"/>
  <c r="C13" i="11"/>
  <c r="H13" i="11"/>
  <c r="T2" i="11" s="1"/>
  <c r="D13" i="11"/>
  <c r="P16" i="11"/>
  <c r="L16" i="11"/>
  <c r="K16" i="11"/>
  <c r="K17" i="11" l="1"/>
  <c r="P17" i="11"/>
  <c r="L17" i="11"/>
  <c r="T5" i="2" s="1"/>
  <c r="AH5" i="2" l="1"/>
  <c r="V5" i="2"/>
  <c r="Z5" i="2"/>
  <c r="AD5" i="2"/>
  <c r="AF5" i="2"/>
  <c r="X5" i="2"/>
  <c r="AB5" i="2"/>
  <c r="AX5" i="2"/>
  <c r="CF5" i="2"/>
  <c r="DJ5" i="2"/>
  <c r="BX5" i="2"/>
  <c r="AL5" i="2"/>
  <c r="AZ5" i="2"/>
  <c r="AT5" i="2"/>
  <c r="FD5" i="2"/>
  <c r="EH5" i="2"/>
  <c r="DX5" i="2"/>
  <c r="DF5" i="2"/>
  <c r="EN5" i="2"/>
  <c r="CH5" i="2"/>
  <c r="AN5" i="2"/>
  <c r="EP5" i="2"/>
  <c r="CJ5" i="2"/>
  <c r="BL5" i="2"/>
  <c r="CD5" i="2"/>
  <c r="EV5" i="2"/>
  <c r="EF5" i="2"/>
  <c r="FB5" i="2"/>
  <c r="BH5" i="2"/>
  <c r="BF5" i="2"/>
  <c r="DL5" i="2"/>
  <c r="BJ5" i="2"/>
  <c r="BV5" i="2"/>
  <c r="DN5" i="2"/>
  <c r="BT5" i="2"/>
  <c r="BP5" i="2"/>
  <c r="DT5" i="2"/>
  <c r="BR5" i="2"/>
  <c r="CX5" i="2"/>
  <c r="DV5" i="2"/>
  <c r="CN5" i="2"/>
  <c r="EX5" i="2"/>
  <c r="BZ5" i="2"/>
  <c r="ET5" i="2"/>
  <c r="EZ5" i="2"/>
  <c r="CV5" i="2"/>
  <c r="CR5" i="2"/>
  <c r="FF5" i="2"/>
  <c r="CT5" i="2"/>
  <c r="AJ5" i="2"/>
  <c r="BN5" i="2"/>
  <c r="DD5" i="2"/>
  <c r="CZ5" i="2"/>
  <c r="AP5" i="2"/>
  <c r="CP5" i="2"/>
  <c r="DB5" i="2"/>
  <c r="AR5" i="2"/>
  <c r="ED5" i="2"/>
  <c r="EB5" i="2"/>
  <c r="DR5" i="2"/>
  <c r="DH5" i="2"/>
  <c r="EL5" i="2"/>
  <c r="DZ5" i="2"/>
  <c r="AV5" i="2"/>
  <c r="EJ5" i="2"/>
  <c r="CL5" i="2"/>
  <c r="DP5" i="2"/>
  <c r="BB5" i="2"/>
  <c r="CB5" i="2"/>
  <c r="BD5" i="2"/>
  <c r="ER5" i="2"/>
  <c r="Q16" i="11"/>
  <c r="I17" i="11"/>
  <c r="Q17" i="11"/>
  <c r="I15" i="11"/>
  <c r="I12" i="11"/>
  <c r="I16" i="11"/>
  <c r="Q15" i="11"/>
  <c r="Q12" i="11"/>
  <c r="Q14" i="11"/>
  <c r="AA15" i="5"/>
  <c r="I14" i="11"/>
  <c r="Q13" i="11"/>
  <c r="I13" i="11"/>
  <c r="J24" i="5"/>
  <c r="A15" i="5"/>
  <c r="S15" i="5"/>
  <c r="AA24" i="5"/>
  <c r="T25" i="5" l="1"/>
  <c r="N28" i="5" l="1"/>
  <c r="W28" i="5" s="1"/>
  <c r="E26" i="11" s="1"/>
  <c r="E25" i="11" l="1"/>
  <c r="FO5" i="2"/>
  <c r="FP5" i="2"/>
  <c r="W29" i="5"/>
  <c r="FR5" i="2" l="1"/>
  <c r="F34" i="11"/>
  <c r="AD29" i="5"/>
  <c r="FS5" i="2" l="1"/>
  <c r="F39" i="11"/>
</calcChain>
</file>

<file path=xl/sharedStrings.xml><?xml version="1.0" encoding="utf-8"?>
<sst xmlns="http://schemas.openxmlformats.org/spreadsheetml/2006/main" count="1627" uniqueCount="379">
  <si>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</si>
  <si>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</si>
  <si>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</si>
  <si>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</si>
  <si>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</si>
  <si>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</si>
  <si>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</si>
  <si>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</si>
  <si>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</si>
  <si>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</si>
  <si>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</si>
  <si>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</si>
  <si>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</si>
  <si>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</si>
  <si>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</si>
  <si>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</si>
  <si>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</si>
  <si>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</si>
  <si>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</si>
  <si>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 xml:space="preserve">الفصل الأول </t>
  </si>
  <si>
    <t>تقسيط</t>
  </si>
  <si>
    <t>مقررات السنة الثانية</t>
  </si>
  <si>
    <t xml:space="preserve">مقررات السنة الرابعة 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</si>
  <si>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</si>
  <si>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</si>
  <si>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</si>
  <si>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</si>
  <si>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</si>
  <si>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</si>
  <si>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اسم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</si>
  <si>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</si>
  <si>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</si>
  <si>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</si>
  <si>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</si>
  <si>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</si>
  <si>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</si>
  <si>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</si>
  <si>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</si>
  <si>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</si>
  <si>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</si>
  <si>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</si>
  <si>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</si>
  <si>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</si>
  <si>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</si>
  <si>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</si>
  <si>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</si>
  <si>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</si>
  <si>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</si>
  <si>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</si>
  <si>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</si>
  <si>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</si>
  <si>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</si>
  <si>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</si>
  <si>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</si>
  <si>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العنوان الدائم</t>
  </si>
  <si>
    <t>رقم الموبايل</t>
  </si>
  <si>
    <t>ذوي الشهداء وجرحى الجيش العربي السوري</t>
  </si>
  <si>
    <t>رقم تدوير رسوم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</si>
  <si>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</si>
  <si>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</si>
  <si>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</si>
  <si>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</si>
  <si>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</si>
  <si>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</si>
  <si>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</si>
  <si>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</si>
  <si>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</si>
  <si>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نوع الحسم</t>
  </si>
  <si>
    <t>نقابة معلمين</t>
  </si>
  <si>
    <t>ذوي إحتياجات الخاصة</t>
  </si>
  <si>
    <t>سجين</t>
  </si>
  <si>
    <t>رسم التسجيل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</si>
  <si>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</si>
  <si>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</si>
  <si>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</si>
  <si>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عدد المواد الراسبة للمرة الأولى</t>
  </si>
  <si>
    <t>عدد المواد الراسبة للمرة الثانية</t>
  </si>
  <si>
    <t>place of birth</t>
  </si>
  <si>
    <t>Mother Name</t>
  </si>
  <si>
    <t>Father Name</t>
  </si>
  <si>
    <t>Full Name</t>
  </si>
  <si>
    <t>مكان ورقم القيد</t>
  </si>
  <si>
    <t>لا</t>
  </si>
  <si>
    <t>نعم</t>
  </si>
  <si>
    <t>دمشق</t>
  </si>
  <si>
    <t>علمي</t>
  </si>
  <si>
    <t>ريف دمشق</t>
  </si>
  <si>
    <t>أدبي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</si>
  <si>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</si>
  <si>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</si>
  <si>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</si>
  <si>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</si>
  <si>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</si>
  <si>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</si>
  <si>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حلب</t>
  </si>
  <si>
    <t>حمص</t>
  </si>
  <si>
    <t>حماة</t>
  </si>
  <si>
    <t>اللاذقية</t>
  </si>
  <si>
    <t>طرطوس</t>
  </si>
  <si>
    <t>إدلب</t>
  </si>
  <si>
    <t>السويداء</t>
  </si>
  <si>
    <t>القنيطرة</t>
  </si>
  <si>
    <t>درعا</t>
  </si>
  <si>
    <t>الحسكة</t>
  </si>
  <si>
    <t>دير الزور</t>
  </si>
  <si>
    <t>الرقة</t>
  </si>
  <si>
    <t>إعادة ارتباط</t>
  </si>
  <si>
    <t>تاريخ إعادة ارتباط</t>
  </si>
  <si>
    <t>تاريخ تدوير رسوم</t>
  </si>
  <si>
    <t>العاملين في وزارة التعليم العالي والمؤسسات والجامعات التابعة لها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</si>
  <si>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</si>
  <si>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</si>
  <si>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</si>
  <si>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</si>
  <si>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</si>
  <si>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</si>
  <si>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</si>
  <si>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</si>
  <si>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</si>
  <si>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</si>
  <si>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</si>
  <si>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</si>
  <si>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</si>
  <si>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</si>
  <si>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</si>
  <si>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</si>
  <si>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</si>
  <si>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القانون المدني (احكام الالتزام )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</si>
  <si>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</si>
  <si>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</si>
  <si>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</si>
  <si>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</si>
  <si>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</si>
  <si>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</si>
  <si>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 xml:space="preserve">المالية العامة 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</si>
  <si>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</si>
  <si>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</si>
  <si>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</si>
  <si>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</si>
  <si>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</si>
  <si>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</si>
  <si>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</si>
  <si>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</si>
  <si>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</si>
  <si>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</si>
  <si>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</si>
  <si>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</si>
  <si>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القانون الدولي الخاص 
(تنازع القوانين )</t>
  </si>
  <si>
    <t xml:space="preserve">أصول التنفيذ </t>
  </si>
  <si>
    <t xml:space="preserve">قانون العقوبات الخاص
 (جرائم على الاموال وجرائم اقتصادية) </t>
  </si>
  <si>
    <t>عقوبات خاص
 (جرائم على الادارة-المخلة بالثقة العامة )</t>
  </si>
  <si>
    <t xml:space="preserve">مصطلحات قانونية باللغة الاجنبية </t>
  </si>
  <si>
    <t>اللغة الأجنبية</t>
  </si>
  <si>
    <t>اكتب اسم المادة الاختيارية</t>
  </si>
  <si>
    <t>القضية الفلسطينية</t>
  </si>
  <si>
    <t>حقوق الإنسان</t>
  </si>
  <si>
    <t>النظم السياسية</t>
  </si>
  <si>
    <t>الحق في الحياة الخاصة</t>
  </si>
  <si>
    <t>علم الإجرام والعقاب</t>
  </si>
  <si>
    <t>مقدمة الاقتصاد</t>
  </si>
  <si>
    <t>السياسة المالي (1)</t>
  </si>
  <si>
    <t>قانون أحداث الجانحين</t>
  </si>
  <si>
    <t>الوظيفة العامة</t>
  </si>
  <si>
    <t>التأمينات الاجتماعية</t>
  </si>
  <si>
    <t>العقود الإدارية</t>
  </si>
  <si>
    <t>السياسة المالية (2)</t>
  </si>
  <si>
    <t>العلاقات الدولية (2)</t>
  </si>
  <si>
    <t>عقد الإيجار</t>
  </si>
  <si>
    <t>الإثبات في المواد المدنية</t>
  </si>
  <si>
    <t>القانون البحري والجوي</t>
  </si>
  <si>
    <t>قانون العقوبات العسكرية</t>
  </si>
  <si>
    <t>قانون العقوبات الاقتصادية</t>
  </si>
  <si>
    <t>الدبلوماسية</t>
  </si>
  <si>
    <t>الرقابة المالية</t>
  </si>
  <si>
    <t>الإدارة المحلية</t>
  </si>
  <si>
    <t>التأمين</t>
  </si>
  <si>
    <t>قانون ممارسة مهنة المحاماة</t>
  </si>
  <si>
    <t>عقود دولية</t>
  </si>
  <si>
    <t xml:space="preserve">الاختصاص القضائي الدولي </t>
  </si>
  <si>
    <t>اللغة الأجنبية (1)</t>
  </si>
  <si>
    <t>اللغة الأجنبية (2)</t>
  </si>
  <si>
    <t>يستفيد من الحسم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</si>
  <si>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</si>
  <si>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</si>
  <si>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</si>
  <si>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</si>
  <si>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ذوي الاحتياجات الخاصة</t>
  </si>
  <si>
    <t>السجين</t>
  </si>
  <si>
    <t xml:space="preserve">يسدد (500ل.س) فقط رسم كل مقرر </t>
  </si>
  <si>
    <t>تملئ صفحة إدخال البيانات بالمعلومات المطلوبة وبشكل دقيق وصحيح</t>
  </si>
  <si>
    <t>الانتقال إلى صفحة اختيار المقررات</t>
  </si>
  <si>
    <t>التوجه إلى المصرف العقاري لدفع الرسوم</t>
  </si>
  <si>
    <t>نسبة الحسم</t>
  </si>
  <si>
    <t xml:space="preserve">تعليمات التسجيل </t>
  </si>
  <si>
    <t>ملاحظة :إن كنت من المستفيدين من الحسميات يجب عليك إحضار الوثيقة التي تثبت ذلك
مع الأوراق الثبوتية التي تقدم إلى النافذة</t>
  </si>
  <si>
    <t>شرعية</t>
  </si>
  <si>
    <t>الحاصلين على وثيقة وفاة من مكتب شؤون الشهداء والجرحى والمفقودين لأبناء المتوفيين  بالعمليات المشابهة للعمليات الحربية</t>
  </si>
  <si>
    <r>
      <t xml:space="preserve">ثم تسليم استمارة التسجيل مع إيصال المصرف إلى شؤون طلاب الدراسات القانونية - كلية الحقوق البناء القديم - الطابق الثاني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</si>
  <si>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محمد</t>
  </si>
  <si>
    <t>محمود</t>
  </si>
  <si>
    <t>احمد</t>
  </si>
  <si>
    <t>صباح</t>
  </si>
  <si>
    <t>غسان</t>
  </si>
  <si>
    <t>امينه</t>
  </si>
  <si>
    <t>وثيقة وفاة صادرة عن مكتب الشهداء</t>
  </si>
  <si>
    <t>رسم فصول الانقطاع</t>
  </si>
  <si>
    <t>ملاحظة: عن كل فصل انقطاع رسم /15000 ل.س/</t>
  </si>
  <si>
    <t>رسم المقررات</t>
  </si>
  <si>
    <t>رسم الانقطاع</t>
  </si>
  <si>
    <t xml:space="preserve">طابع مالي
 30  ل.س   </t>
  </si>
  <si>
    <t>طابع هلال احمر
25  ل .س</t>
  </si>
  <si>
    <t>الفصل الأول من العام الدراسي 2018-2019</t>
  </si>
  <si>
    <t>الفصل الثاني من العام الدراسي 2018-2019</t>
  </si>
  <si>
    <t>الفصل الأول من العام الدراسي 2019-2020</t>
  </si>
  <si>
    <t>إرسال ملف الإستمارة (Excel ) عبر البريد الإلكتروني إلى العنوان التالي :
log.ol@hotmail.com 
ويجب أن يكون موضوع الإيميل هو الرقم الإمتحاني للطالب</t>
  </si>
  <si>
    <t>الفصل الأول من العام الدراسي 2020-2021</t>
  </si>
  <si>
    <t>الرقم</t>
  </si>
  <si>
    <t>ج</t>
  </si>
  <si>
    <t>ر1</t>
  </si>
  <si>
    <t>ر2</t>
  </si>
  <si>
    <t>العاملين في وزارة التعليم العالي والمؤسسات والجامعات التابعة لها وأبنائهم</t>
  </si>
  <si>
    <t>وثيقة وفاة  صادرة عن مكتب الشهداء</t>
  </si>
  <si>
    <t>العلاقات الدولية (1)</t>
  </si>
  <si>
    <t>رقم الإيقاف</t>
  </si>
  <si>
    <t>تدوير الرسوم</t>
  </si>
  <si>
    <t>أدخل الرقم الإمتحاني</t>
  </si>
  <si>
    <t>المحافظة</t>
  </si>
  <si>
    <t>الثانوية</t>
  </si>
  <si>
    <t>01</t>
  </si>
  <si>
    <t>العربية السورية</t>
  </si>
  <si>
    <t>الأولى</t>
  </si>
  <si>
    <t>02</t>
  </si>
  <si>
    <t>الفلسطينية السورية</t>
  </si>
  <si>
    <t>الأولى حديث</t>
  </si>
  <si>
    <t>03</t>
  </si>
  <si>
    <t>رقم جواز السفر لغير السوريين</t>
  </si>
  <si>
    <t>رقم الهاتف</t>
  </si>
  <si>
    <t>06</t>
  </si>
  <si>
    <t>الثانية</t>
  </si>
  <si>
    <t>04</t>
  </si>
  <si>
    <t>الأردنية</t>
  </si>
  <si>
    <t>الثانية حديث</t>
  </si>
  <si>
    <t>05</t>
  </si>
  <si>
    <t>سنة الشهادة</t>
  </si>
  <si>
    <t>محافظة الشهادة</t>
  </si>
  <si>
    <t>اللبنانية</t>
  </si>
  <si>
    <t>الثالثة</t>
  </si>
  <si>
    <t>العراقية</t>
  </si>
  <si>
    <t>الثالثة حديث</t>
  </si>
  <si>
    <t>07</t>
  </si>
  <si>
    <t>التونسية</t>
  </si>
  <si>
    <t>الرابعة</t>
  </si>
  <si>
    <t>08</t>
  </si>
  <si>
    <t xml:space="preserve">اليمنية </t>
  </si>
  <si>
    <t>الرابعة حديث</t>
  </si>
  <si>
    <t>09</t>
  </si>
  <si>
    <t>10</t>
  </si>
  <si>
    <t>11</t>
  </si>
  <si>
    <t>12</t>
  </si>
  <si>
    <t>13</t>
  </si>
  <si>
    <t>14</t>
  </si>
  <si>
    <t>15</t>
  </si>
  <si>
    <t>غير سورية</t>
  </si>
  <si>
    <t>16</t>
  </si>
  <si>
    <t>غير سوري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</si>
  <si>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</si>
  <si>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</si>
  <si>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</si>
  <si>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</si>
  <si>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</si>
  <si>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</si>
  <si>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</si>
  <si>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</si>
  <si>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</si>
  <si>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</si>
  <si>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</si>
  <si>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</si>
  <si>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</si>
  <si>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</si>
  <si>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</si>
  <si>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 xml:space="preserve">                                                       المقررات المسجلة في الفصل الأول للعام الدراسي 2021/ 2022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</si>
  <si>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الرسوم المدورة</t>
  </si>
  <si>
    <t>طابع بحث علمي
25ل.س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</si>
  <si>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</si>
  <si>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الرقم الإمتحاني</t>
  </si>
  <si>
    <t>الاسم والنسبه</t>
  </si>
  <si>
    <t>محافظ الشهادة</t>
  </si>
  <si>
    <t>حاملي وسام بطل الجمهورية وأولادهم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</si>
  <si>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</si>
  <si>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</si>
  <si>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</si>
  <si>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</si>
  <si>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</si>
  <si>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مستنفذ</t>
  </si>
  <si>
    <t>الفصل الثاني من العام الدراسي 2020-2021</t>
  </si>
  <si>
    <t>الرسوم</t>
  </si>
  <si>
    <t>البيانات باللغة الإنكليزية</t>
  </si>
  <si>
    <t>رسم فصل الانقطاع</t>
  </si>
  <si>
    <t>رسم تسجيل سنوي</t>
  </si>
  <si>
    <t>السياسة المالية (1)</t>
  </si>
  <si>
    <t>أحداث الجانحين</t>
  </si>
  <si>
    <t>العلاقات الدولية</t>
  </si>
  <si>
    <t>الفلسطينية</t>
  </si>
  <si>
    <t>الإيرانية</t>
  </si>
  <si>
    <t>المصرية</t>
  </si>
  <si>
    <t>المغربية</t>
  </si>
  <si>
    <t>الأفغانية</t>
  </si>
  <si>
    <t>التركية</t>
  </si>
  <si>
    <t>سلوفاكية</t>
  </si>
  <si>
    <t>الجزائرية</t>
  </si>
  <si>
    <t>السودانية</t>
  </si>
  <si>
    <t>السعودية</t>
  </si>
  <si>
    <t>فصول الانقطاع</t>
  </si>
  <si>
    <t>عند اختيار المقرر الذي ترغب باختياره يجب عليك أن تضع بجانب اسم المقرر بالعمود الأزرق رقم /1/</t>
  </si>
  <si>
    <t>إستمارة طالب برنامج الدراسات القانونية الفصل الأول للعام الدراسي 2022/2021</t>
  </si>
  <si>
    <t>مسعود حسن</t>
  </si>
  <si>
    <t>هاله</t>
  </si>
  <si>
    <t>س1</t>
  </si>
  <si>
    <t>علي سماره</t>
  </si>
  <si>
    <t>سمر</t>
  </si>
  <si>
    <t>ابراهيم المرار</t>
  </si>
  <si>
    <t>جعفر فاضل</t>
  </si>
  <si>
    <t>فريال</t>
  </si>
  <si>
    <t>علي شحاده</t>
  </si>
  <si>
    <t>فؤاد</t>
  </si>
  <si>
    <t>لينا</t>
  </si>
  <si>
    <t>محمد ميا</t>
  </si>
  <si>
    <t>س2</t>
  </si>
  <si>
    <t>باسل ابو شعر</t>
  </si>
  <si>
    <t>ليلاس</t>
  </si>
  <si>
    <t>س3</t>
  </si>
  <si>
    <t>حسين العلي</t>
  </si>
  <si>
    <t>خلف</t>
  </si>
  <si>
    <t>معيوفة</t>
  </si>
  <si>
    <t>خليل صالح</t>
  </si>
  <si>
    <t>ابراهيم</t>
  </si>
  <si>
    <t>صفاء صوان</t>
  </si>
  <si>
    <t>كمال</t>
  </si>
  <si>
    <t>ازدهار</t>
  </si>
  <si>
    <t>عبد الرحمن العلي</t>
  </si>
  <si>
    <t>شوفه</t>
  </si>
  <si>
    <t>علاء الخطيب</t>
  </si>
  <si>
    <t>انصاف</t>
  </si>
  <si>
    <t>علي خير بك</t>
  </si>
  <si>
    <t>نجاح</t>
  </si>
  <si>
    <t>علي محمد المشرقي</t>
  </si>
  <si>
    <t>وليد</t>
  </si>
  <si>
    <t>وداد</t>
  </si>
  <si>
    <t>عمر شريف سوار</t>
  </si>
  <si>
    <t>حسان</t>
  </si>
  <si>
    <t>صالحه</t>
  </si>
  <si>
    <t>فارس سكيكر</t>
  </si>
  <si>
    <t>نهيله</t>
  </si>
  <si>
    <t>محمود حمادة</t>
  </si>
  <si>
    <t>يونس</t>
  </si>
  <si>
    <t>افتكار</t>
  </si>
  <si>
    <t>منال حميدة</t>
  </si>
  <si>
    <t>محمد نور الدين</t>
  </si>
  <si>
    <t>صلاح الدين</t>
  </si>
  <si>
    <t>غياث تباب</t>
  </si>
  <si>
    <t>عزت</t>
  </si>
  <si>
    <t>قمر</t>
  </si>
  <si>
    <t>اباء قضماني</t>
  </si>
  <si>
    <t>معروف</t>
  </si>
  <si>
    <t>اسعاف</t>
  </si>
  <si>
    <t>صفوان النعمات</t>
  </si>
  <si>
    <t>سلطان</t>
  </si>
  <si>
    <t>اثنية</t>
  </si>
  <si>
    <t>س4</t>
  </si>
  <si>
    <t>محمد محمد</t>
  </si>
  <si>
    <t>كامل ابراهيم</t>
  </si>
  <si>
    <t>المعتز بالله طه</t>
  </si>
  <si>
    <t>شادي رحال</t>
  </si>
  <si>
    <t>نور الدين</t>
  </si>
  <si>
    <t>سكينه</t>
  </si>
  <si>
    <t>عدنان</t>
  </si>
  <si>
    <t>منتهى</t>
  </si>
  <si>
    <t>نبيل</t>
  </si>
  <si>
    <t>املين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</si>
</sst>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ل.س.‏&quot;"/>
    <numFmt numFmtId="165" formatCode="[$-1010000]yyyy/mm/dd;@"/>
  </numFmts>
  <fonts count="9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Calibri"/>
      <family val="2"/>
      <scheme val="minor"/>
    </font>
    <font>
      <b/>
      <u/>
      <sz val="12"/>
      <color theme="1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 Light"/>
      <family val="1"/>
      <scheme val="major"/>
    </font>
    <font>
      <b/>
      <sz val="13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1"/>
      <color theme="5" tint="0.79998168889431442"/>
      <name val="Calibri"/>
      <family val="2"/>
      <scheme val="minor"/>
    </font>
    <font>
      <b/>
      <sz val="11"/>
      <color theme="5" tint="0.79998168889431442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4"/>
      <color theme="1"/>
      <name val="Sakkal Majalla"/>
    </font>
    <font>
      <b/>
      <u/>
      <sz val="12"/>
      <color theme="10"/>
      <name val="Sakkal Majalla"/>
    </font>
    <font>
      <sz val="14"/>
      <color theme="0"/>
      <name val="Sakkal Majalla"/>
    </font>
    <font>
      <b/>
      <u/>
      <sz val="16"/>
      <color theme="0"/>
      <name val="Sakkal Majalla"/>
    </font>
    <font>
      <b/>
      <u/>
      <sz val="14"/>
      <color theme="0"/>
      <name val="Sakkal Majalla"/>
    </font>
    <font>
      <b/>
      <sz val="14"/>
      <color theme="0"/>
      <name val="Sakkal Majalla"/>
    </font>
    <font>
      <b/>
      <sz val="16"/>
      <color rgb="FFFF0000"/>
      <name val="Sakkal Majalla"/>
    </font>
    <font>
      <b/>
      <sz val="18"/>
      <color rgb="FFFF0000"/>
      <name val="Sakkal Majalla"/>
    </font>
    <font>
      <sz val="11"/>
      <color theme="0"/>
      <name val="Sakkal Majalla"/>
    </font>
    <font>
      <b/>
      <sz val="12"/>
      <color theme="0"/>
      <name val="Sakkal Majalla"/>
    </font>
    <font>
      <b/>
      <sz val="12"/>
      <color theme="0"/>
      <name val="Calibri"/>
      <family val="2"/>
      <scheme val="minor"/>
    </font>
    <font>
      <b/>
      <sz val="12"/>
      <color rgb="FFFF0000"/>
      <name val="Arial"/>
      <family val="2"/>
      <charset val="178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b/>
      <u/>
      <sz val="12"/>
      <name val="Arial"/>
      <family val="2"/>
    </font>
    <font>
      <b/>
      <u/>
      <sz val="12"/>
      <color rgb="FF0070C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9"/>
      <name val="Arial"/>
      <family val="2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78"/>
      <scheme val="minor"/>
    </font>
    <font>
      <sz val="16"/>
      <color theme="1"/>
      <name val="Calibri"/>
      <family val="2"/>
      <charset val="178"/>
      <scheme val="minor"/>
    </font>
    <font>
      <sz val="14"/>
      <color theme="1"/>
      <name val="Arial"/>
      <family val="2"/>
    </font>
    <font>
      <sz val="14"/>
      <color theme="1"/>
      <name val="Calibri"/>
      <family val="2"/>
      <charset val="178"/>
      <scheme val="minor"/>
    </font>
    <font>
      <sz val="14"/>
      <color theme="1"/>
      <name val="Traditional Arabic"/>
      <family val="1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/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thick">
        <color theme="0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ashed">
        <color indexed="64"/>
      </left>
      <right/>
      <top/>
      <bottom style="thin">
        <color theme="0"/>
      </bottom>
      <diagonal/>
    </border>
    <border>
      <left/>
      <right style="dashed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</cellStyleXfs>
  <cellXfs count="61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1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14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24" fillId="0" borderId="0" xfId="0" applyFont="1" applyFill="1" applyBorder="1" applyAlignment="1" applyProtection="1">
      <alignment shrinkToFit="1"/>
      <protection hidden="1"/>
    </xf>
    <xf numFmtId="0" fontId="25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protection hidden="1"/>
    </xf>
    <xf numFmtId="0" fontId="26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Border="1" applyAlignment="1" applyProtection="1">
      <alignment horizontal="center" vertical="center" textRotation="90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23" fillId="0" borderId="6" xfId="0" applyFont="1" applyFill="1" applyBorder="1" applyAlignment="1" applyProtection="1">
      <protection hidden="1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wrapText="1"/>
      <protection locked="0"/>
    </xf>
    <xf numFmtId="0" fontId="11" fillId="0" borderId="0" xfId="0" applyFont="1" applyProtection="1">
      <protection hidden="1"/>
    </xf>
    <xf numFmtId="0" fontId="26" fillId="4" borderId="4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49" fontId="0" fillId="5" borderId="26" xfId="0" applyNumberForma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3" borderId="19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2" fillId="21" borderId="0" xfId="0" applyFont="1" applyFill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vertical="center" shrinkToFit="1"/>
      <protection hidden="1"/>
    </xf>
    <xf numFmtId="0" fontId="32" fillId="0" borderId="0" xfId="0" applyFont="1" applyFill="1" applyBorder="1" applyAlignment="1" applyProtection="1">
      <alignment horizontal="center" vertical="center" shrinkToFit="1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34" fillId="13" borderId="44" xfId="0" applyFont="1" applyFill="1" applyBorder="1" applyAlignment="1" applyProtection="1">
      <alignment horizontal="center" vertical="center"/>
      <protection hidden="1"/>
    </xf>
    <xf numFmtId="0" fontId="34" fillId="13" borderId="45" xfId="0" applyFont="1" applyFill="1" applyBorder="1" applyAlignment="1" applyProtection="1">
      <alignment horizontal="center" vertical="center"/>
      <protection hidden="1"/>
    </xf>
    <xf numFmtId="14" fontId="34" fillId="13" borderId="4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35" fillId="13" borderId="44" xfId="0" applyFont="1" applyFill="1" applyBorder="1" applyAlignment="1" applyProtection="1">
      <alignment horizontal="center" vertical="center"/>
      <protection hidden="1"/>
    </xf>
    <xf numFmtId="0" fontId="35" fillId="13" borderId="45" xfId="0" applyFont="1" applyFill="1" applyBorder="1" applyAlignment="1" applyProtection="1">
      <alignment horizontal="center" vertical="center"/>
      <protection hidden="1"/>
    </xf>
    <xf numFmtId="14" fontId="35" fillId="13" borderId="45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36" fillId="14" borderId="46" xfId="0" applyFont="1" applyFill="1" applyBorder="1" applyAlignment="1" applyProtection="1">
      <alignment horizontal="center" vertical="center"/>
      <protection hidden="1"/>
    </xf>
    <xf numFmtId="0" fontId="36" fillId="14" borderId="47" xfId="0" applyFont="1" applyFill="1" applyBorder="1" applyAlignment="1" applyProtection="1">
      <alignment horizontal="center" vertical="center"/>
      <protection hidden="1"/>
    </xf>
    <xf numFmtId="14" fontId="36" fillId="14" borderId="47" xfId="0" applyNumberFormat="1" applyFont="1" applyFill="1" applyBorder="1" applyAlignment="1" applyProtection="1">
      <alignment horizontal="center" vertical="center"/>
      <protection hidden="1"/>
    </xf>
    <xf numFmtId="0" fontId="36" fillId="14" borderId="48" xfId="0" applyFont="1" applyFill="1" applyBorder="1" applyAlignment="1" applyProtection="1">
      <alignment horizontal="center" vertical="center"/>
      <protection hidden="1"/>
    </xf>
    <xf numFmtId="0" fontId="28" fillId="4" borderId="63" xfId="0" applyFont="1" applyFill="1" applyBorder="1" applyAlignment="1" applyProtection="1">
      <alignment horizontal="center" vertical="center"/>
      <protection hidden="1"/>
    </xf>
    <xf numFmtId="0" fontId="28" fillId="4" borderId="66" xfId="0" applyFont="1" applyFill="1" applyBorder="1" applyAlignment="1" applyProtection="1">
      <alignment horizontal="center" vertical="center"/>
      <protection hidden="1"/>
    </xf>
    <xf numFmtId="0" fontId="36" fillId="11" borderId="49" xfId="0" applyFont="1" applyFill="1" applyBorder="1" applyAlignment="1" applyProtection="1">
      <alignment horizontal="center" vertical="center"/>
      <protection hidden="1"/>
    </xf>
    <xf numFmtId="0" fontId="36" fillId="11" borderId="47" xfId="0" applyFont="1" applyFill="1" applyBorder="1" applyAlignment="1" applyProtection="1">
      <alignment horizontal="center" vertical="center"/>
      <protection hidden="1"/>
    </xf>
    <xf numFmtId="0" fontId="36" fillId="11" borderId="56" xfId="0" applyFont="1" applyFill="1" applyBorder="1" applyAlignment="1" applyProtection="1">
      <alignment horizontal="center" vertical="center"/>
      <protection hidden="1"/>
    </xf>
    <xf numFmtId="0" fontId="28" fillId="15" borderId="55" xfId="0" applyFont="1" applyFill="1" applyBorder="1" applyAlignment="1" applyProtection="1">
      <alignment horizontal="center" vertic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9" borderId="1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27" fillId="0" borderId="41" xfId="0" applyFont="1" applyBorder="1" applyAlignment="1" applyProtection="1">
      <alignment horizontal="center" vertical="center"/>
      <protection hidden="1"/>
    </xf>
    <xf numFmtId="0" fontId="23" fillId="6" borderId="74" xfId="0" applyNumberFormat="1" applyFont="1" applyFill="1" applyBorder="1" applyAlignment="1" applyProtection="1">
      <alignment vertical="center" shrinkToFit="1"/>
      <protection hidden="1"/>
    </xf>
    <xf numFmtId="49" fontId="28" fillId="4" borderId="6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50" fillId="6" borderId="0" xfId="0" applyFont="1" applyFill="1" applyBorder="1" applyAlignment="1" applyProtection="1">
      <alignment horizontal="center" vertical="center" textRotation="90"/>
      <protection hidden="1"/>
    </xf>
    <xf numFmtId="0" fontId="52" fillId="0" borderId="0" xfId="0" applyFont="1"/>
    <xf numFmtId="0" fontId="55" fillId="0" borderId="0" xfId="0" applyFont="1" applyAlignment="1">
      <alignment horizontal="center"/>
    </xf>
    <xf numFmtId="0" fontId="55" fillId="0" borderId="0" xfId="0" applyFont="1"/>
    <xf numFmtId="0" fontId="51" fillId="0" borderId="0" xfId="0" applyFont="1" applyAlignment="1"/>
    <xf numFmtId="0" fontId="51" fillId="0" borderId="0" xfId="0" applyFont="1" applyAlignment="1">
      <alignment horizontal="center"/>
    </xf>
    <xf numFmtId="0" fontId="52" fillId="0" borderId="0" xfId="0" applyFont="1" applyAlignment="1"/>
    <xf numFmtId="0" fontId="56" fillId="0" borderId="0" xfId="1" applyFont="1" applyFill="1" applyBorder="1" applyAlignment="1">
      <alignment vertical="center" wrapText="1"/>
    </xf>
    <xf numFmtId="0" fontId="52" fillId="0" borderId="0" xfId="0" applyFont="1" applyFill="1"/>
    <xf numFmtId="0" fontId="56" fillId="0" borderId="0" xfId="1" applyFont="1" applyFill="1" applyAlignment="1"/>
    <xf numFmtId="0" fontId="11" fillId="0" borderId="53" xfId="0" applyFont="1" applyBorder="1" applyAlignment="1" applyProtection="1">
      <alignment vertical="center"/>
      <protection hidden="1"/>
    </xf>
    <xf numFmtId="0" fontId="3" fillId="5" borderId="5" xfId="0" applyFont="1" applyFill="1" applyBorder="1" applyAlignment="1" applyProtection="1">
      <alignment horizontal="center" vertical="center" shrinkToFit="1"/>
      <protection hidden="1"/>
    </xf>
    <xf numFmtId="0" fontId="11" fillId="0" borderId="43" xfId="0" applyFont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49" fillId="6" borderId="19" xfId="0" applyFont="1" applyFill="1" applyBorder="1" applyAlignment="1" applyProtection="1">
      <alignment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49" fillId="6" borderId="9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0" fontId="11" fillId="0" borderId="18" xfId="0" applyFont="1" applyFill="1" applyBorder="1" applyAlignment="1" applyProtection="1">
      <alignment vertical="center"/>
      <protection hidden="1"/>
    </xf>
    <xf numFmtId="0" fontId="11" fillId="0" borderId="19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47" fillId="2" borderId="21" xfId="0" applyFont="1" applyFill="1" applyBorder="1" applyAlignment="1" applyProtection="1">
      <alignment horizontal="center" vertical="center" shrinkToFit="1"/>
      <protection hidden="1"/>
    </xf>
    <xf numFmtId="0" fontId="32" fillId="2" borderId="0" xfId="0" applyFont="1" applyFill="1" applyBorder="1" applyAlignment="1" applyProtection="1">
      <alignment horizontal="center" vertical="center" shrinkToFit="1"/>
      <protection hidden="1"/>
    </xf>
    <xf numFmtId="0" fontId="43" fillId="0" borderId="0" xfId="0" applyFont="1" applyFill="1" applyAlignment="1" applyProtection="1">
      <alignment horizontal="center" vertical="center" shrinkToFit="1"/>
      <protection hidden="1"/>
    </xf>
    <xf numFmtId="0" fontId="32" fillId="0" borderId="20" xfId="0" applyFont="1" applyBorder="1" applyAlignment="1" applyProtection="1">
      <alignment horizontal="center" vertical="center" shrinkToFit="1"/>
      <protection hidden="1"/>
    </xf>
    <xf numFmtId="0" fontId="0" fillId="0" borderId="30" xfId="0" applyFont="1" applyBorder="1" applyAlignment="1" applyProtection="1">
      <alignment horizontal="center" vertical="center" shrinkToFit="1"/>
      <protection hidden="1"/>
    </xf>
    <xf numFmtId="0" fontId="0" fillId="0" borderId="71" xfId="0" applyFont="1" applyBorder="1" applyAlignment="1" applyProtection="1">
      <alignment horizontal="center" vertical="center" shrinkToFit="1"/>
      <protection hidden="1"/>
    </xf>
    <xf numFmtId="0" fontId="43" fillId="0" borderId="0" xfId="0" applyFont="1" applyAlignment="1" applyProtection="1">
      <alignment horizontal="center" vertical="center" shrinkToFit="1"/>
      <protection hidden="1"/>
    </xf>
    <xf numFmtId="0" fontId="32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Font="1" applyFill="1" applyBorder="1" applyAlignment="1" applyProtection="1">
      <alignment vertical="center" shrinkToFit="1"/>
      <protection hidden="1"/>
    </xf>
    <xf numFmtId="0" fontId="0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Border="1" applyAlignment="1" applyProtection="1">
      <alignment vertical="center" shrinkToFit="1"/>
      <protection hidden="1"/>
    </xf>
    <xf numFmtId="0" fontId="0" fillId="0" borderId="0" xfId="0" applyFont="1" applyBorder="1" applyAlignment="1" applyProtection="1">
      <alignment horizontal="center" vertical="center" shrinkToFit="1"/>
      <protection hidden="1"/>
    </xf>
    <xf numFmtId="0" fontId="42" fillId="0" borderId="0" xfId="0" applyFont="1" applyFill="1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shrinkToFit="1"/>
      <protection hidden="1"/>
    </xf>
    <xf numFmtId="0" fontId="26" fillId="0" borderId="0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Alignment="1" applyProtection="1">
      <alignment vertical="top" shrinkToFit="1"/>
      <protection hidden="1"/>
    </xf>
    <xf numFmtId="0" fontId="27" fillId="13" borderId="0" xfId="0" applyFont="1" applyFill="1" applyBorder="1" applyAlignment="1" applyProtection="1">
      <alignment horizontal="center" vertical="center"/>
      <protection hidden="1"/>
    </xf>
    <xf numFmtId="0" fontId="27" fillId="13" borderId="0" xfId="0" applyFont="1" applyFill="1" applyBorder="1" applyAlignment="1" applyProtection="1">
      <protection hidden="1"/>
    </xf>
    <xf numFmtId="0" fontId="13" fillId="13" borderId="0" xfId="0" applyFont="1" applyFill="1" applyBorder="1" applyProtection="1">
      <protection hidden="1"/>
    </xf>
    <xf numFmtId="0" fontId="27" fillId="8" borderId="0" xfId="0" applyFont="1" applyFill="1" applyBorder="1" applyAlignment="1" applyProtection="1">
      <alignment horizontal="center" vertical="center"/>
      <protection hidden="1"/>
    </xf>
    <xf numFmtId="164" fontId="69" fillId="14" borderId="42" xfId="0" applyNumberFormat="1" applyFont="1" applyFill="1" applyBorder="1" applyAlignment="1" applyProtection="1">
      <alignment vertical="center"/>
      <protection hidden="1"/>
    </xf>
    <xf numFmtId="0" fontId="0" fillId="0" borderId="42" xfId="0" applyBorder="1" applyAlignment="1" applyProtection="1">
      <protection hidden="1"/>
    </xf>
    <xf numFmtId="0" fontId="0" fillId="0" borderId="0" xfId="0" applyFont="1" applyAlignment="1" applyProtection="1">
      <alignment shrinkToFit="1"/>
      <protection hidden="1"/>
    </xf>
    <xf numFmtId="0" fontId="0" fillId="0" borderId="0" xfId="0" applyFont="1" applyFill="1" applyBorder="1" applyAlignment="1" applyProtection="1">
      <alignment shrinkToFit="1"/>
      <protection hidden="1"/>
    </xf>
    <xf numFmtId="0" fontId="0" fillId="0" borderId="0" xfId="0" applyFont="1" applyBorder="1" applyAlignment="1" applyProtection="1">
      <alignment shrinkToFit="1"/>
      <protection hidden="1"/>
    </xf>
    <xf numFmtId="0" fontId="0" fillId="0" borderId="0" xfId="0" applyFont="1" applyFill="1" applyAlignment="1" applyProtection="1">
      <alignment shrinkToFit="1"/>
      <protection hidden="1"/>
    </xf>
    <xf numFmtId="0" fontId="3" fillId="5" borderId="35" xfId="0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3" fillId="3" borderId="109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4" fillId="3" borderId="112" xfId="0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3" fillId="3" borderId="114" xfId="0" applyFont="1" applyFill="1" applyBorder="1" applyAlignment="1" applyProtection="1">
      <alignment horizontal="center" vertical="center"/>
      <protection hidden="1"/>
    </xf>
    <xf numFmtId="0" fontId="4" fillId="3" borderId="115" xfId="0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4" fillId="0" borderId="0" xfId="0" applyFont="1" applyProtection="1">
      <protection hidden="1"/>
    </xf>
    <xf numFmtId="49" fontId="0" fillId="0" borderId="0" xfId="0" applyNumberFormat="1"/>
    <xf numFmtId="0" fontId="26" fillId="25" borderId="37" xfId="0" applyFont="1" applyFill="1" applyBorder="1" applyAlignment="1" applyProtection="1">
      <alignment horizontal="center" vertical="center"/>
      <protection hidden="1"/>
    </xf>
    <xf numFmtId="0" fontId="26" fillId="25" borderId="3" xfId="0" applyFont="1" applyFill="1" applyBorder="1" applyAlignment="1" applyProtection="1">
      <alignment horizontal="center" vertical="center"/>
      <protection hidden="1"/>
    </xf>
    <xf numFmtId="0" fontId="26" fillId="25" borderId="4" xfId="0" applyFont="1" applyFill="1" applyBorder="1" applyAlignment="1" applyProtection="1">
      <alignment horizontal="center" vertical="center"/>
      <protection hidden="1"/>
    </xf>
    <xf numFmtId="0" fontId="0" fillId="25" borderId="105" xfId="0" applyFont="1" applyFill="1" applyBorder="1" applyAlignment="1" applyProtection="1">
      <alignment horizontal="center" vertical="center"/>
      <protection hidden="1"/>
    </xf>
    <xf numFmtId="0" fontId="0" fillId="25" borderId="37" xfId="0" applyFont="1" applyFill="1" applyBorder="1" applyAlignment="1" applyProtection="1">
      <alignment horizontal="center" vertical="center"/>
      <protection hidden="1"/>
    </xf>
    <xf numFmtId="0" fontId="0" fillId="25" borderId="3" xfId="0" applyFont="1" applyFill="1" applyBorder="1" applyAlignment="1" applyProtection="1">
      <alignment horizontal="center" vertical="center"/>
      <protection hidden="1"/>
    </xf>
    <xf numFmtId="0" fontId="0" fillId="25" borderId="4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13" fillId="0" borderId="0" xfId="0" applyFont="1" applyProtection="1"/>
    <xf numFmtId="0" fontId="27" fillId="6" borderId="113" xfId="0" applyFont="1" applyFill="1" applyBorder="1" applyAlignment="1" applyProtection="1">
      <alignment horizontal="center" vertical="center" shrinkToFit="1"/>
      <protection hidden="1"/>
    </xf>
    <xf numFmtId="0" fontId="6" fillId="3" borderId="113" xfId="1" applyFont="1" applyFill="1" applyBorder="1" applyAlignment="1" applyProtection="1">
      <alignment vertical="center" shrinkToFit="1"/>
      <protection hidden="1"/>
    </xf>
    <xf numFmtId="0" fontId="65" fillId="12" borderId="113" xfId="0" applyFont="1" applyFill="1" applyBorder="1" applyAlignment="1" applyProtection="1">
      <alignment vertical="center" shrinkToFit="1"/>
      <protection hidden="1"/>
    </xf>
    <xf numFmtId="0" fontId="41" fillId="26" borderId="113" xfId="0" applyFont="1" applyFill="1" applyBorder="1" applyAlignment="1" applyProtection="1">
      <alignment vertical="center" shrinkToFit="1"/>
      <protection hidden="1"/>
    </xf>
    <xf numFmtId="0" fontId="64" fillId="12" borderId="113" xfId="0" applyFont="1" applyFill="1" applyBorder="1" applyAlignment="1" applyProtection="1">
      <alignment vertical="center" shrinkToFit="1"/>
      <protection hidden="1"/>
    </xf>
    <xf numFmtId="0" fontId="74" fillId="6" borderId="113" xfId="1" applyFont="1" applyFill="1" applyBorder="1" applyAlignment="1" applyProtection="1">
      <alignment horizontal="center" vertical="center" shrinkToFit="1"/>
      <protection hidden="1"/>
    </xf>
    <xf numFmtId="0" fontId="6" fillId="3" borderId="113" xfId="0" applyFont="1" applyFill="1" applyBorder="1" applyAlignment="1" applyProtection="1">
      <alignment vertical="center" shrinkToFit="1"/>
      <protection hidden="1"/>
    </xf>
    <xf numFmtId="0" fontId="41" fillId="12" borderId="113" xfId="0" applyFont="1" applyFill="1" applyBorder="1" applyAlignment="1" applyProtection="1">
      <alignment vertical="center" shrinkToFit="1"/>
      <protection hidden="1"/>
    </xf>
    <xf numFmtId="0" fontId="23" fillId="6" borderId="113" xfId="0" applyFont="1" applyFill="1" applyBorder="1" applyAlignment="1" applyProtection="1">
      <alignment horizontal="center" vertical="center" shrinkToFit="1"/>
      <protection hidden="1"/>
    </xf>
    <xf numFmtId="49" fontId="6" fillId="3" borderId="113" xfId="0" applyNumberFormat="1" applyFont="1" applyFill="1" applyBorder="1" applyAlignment="1" applyProtection="1">
      <alignment vertical="center" shrinkToFit="1"/>
      <protection hidden="1"/>
    </xf>
    <xf numFmtId="0" fontId="41" fillId="12" borderId="113" xfId="0" applyFont="1" applyFill="1" applyBorder="1" applyAlignment="1" applyProtection="1">
      <alignment horizontal="center" vertical="center" shrinkToFit="1"/>
      <protection hidden="1"/>
    </xf>
    <xf numFmtId="0" fontId="65" fillId="0" borderId="113" xfId="0" applyFont="1" applyBorder="1" applyAlignment="1" applyProtection="1">
      <alignment horizontal="center" vertical="center" shrinkToFit="1"/>
      <protection hidden="1"/>
    </xf>
    <xf numFmtId="14" fontId="28" fillId="0" borderId="113" xfId="0" applyNumberFormat="1" applyFont="1" applyBorder="1" applyAlignment="1" applyProtection="1">
      <alignment vertical="center" shrinkToFit="1"/>
      <protection hidden="1"/>
    </xf>
    <xf numFmtId="0" fontId="76" fillId="5" borderId="26" xfId="0" applyFont="1" applyFill="1" applyBorder="1" applyAlignment="1" applyProtection="1">
      <alignment horizontal="center" vertical="center" wrapText="1"/>
      <protection locked="0"/>
    </xf>
    <xf numFmtId="0" fontId="76" fillId="0" borderId="76" xfId="0" applyFont="1" applyBorder="1" applyAlignment="1">
      <alignment horizontal="center" vertical="center"/>
    </xf>
    <xf numFmtId="0" fontId="30" fillId="11" borderId="25" xfId="0" applyFont="1" applyFill="1" applyBorder="1" applyAlignment="1">
      <alignment horizontal="center" vertical="center"/>
    </xf>
    <xf numFmtId="0" fontId="30" fillId="11" borderId="24" xfId="0" applyFont="1" applyFill="1" applyBorder="1" applyAlignment="1">
      <alignment horizontal="center" vertical="center"/>
    </xf>
    <xf numFmtId="49" fontId="78" fillId="0" borderId="0" xfId="0" applyNumberFormat="1" applyFont="1" applyAlignment="1">
      <alignment shrinkToFit="1"/>
    </xf>
    <xf numFmtId="0" fontId="0" fillId="5" borderId="26" xfId="0" applyFill="1" applyBorder="1" applyAlignment="1">
      <alignment wrapText="1"/>
    </xf>
    <xf numFmtId="0" fontId="0" fillId="0" borderId="0" xfId="0" applyAlignment="1">
      <alignment wrapText="1"/>
    </xf>
    <xf numFmtId="49" fontId="30" fillId="11" borderId="25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left" vertical="center" shrinkToFit="1"/>
      <protection hidden="1"/>
    </xf>
    <xf numFmtId="0" fontId="80" fillId="0" borderId="14" xfId="0" applyFont="1" applyBorder="1" applyAlignment="1" applyProtection="1">
      <alignment horizontal="right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0" fontId="80" fillId="0" borderId="15" xfId="0" applyFont="1" applyBorder="1" applyAlignment="1" applyProtection="1">
      <alignment horizontal="right" vertical="center" shrinkToFit="1"/>
      <protection hidden="1"/>
    </xf>
    <xf numFmtId="0" fontId="46" fillId="16" borderId="0" xfId="0" applyFont="1" applyFill="1" applyAlignment="1" applyProtection="1">
      <alignment horizontal="center" vertical="center" wrapText="1"/>
      <protection hidden="1"/>
    </xf>
    <xf numFmtId="0" fontId="0" fillId="26" borderId="0" xfId="0" applyFill="1" applyAlignment="1" applyProtection="1">
      <alignment horizontal="center" vertical="center"/>
      <protection hidden="1"/>
    </xf>
    <xf numFmtId="0" fontId="0" fillId="26" borderId="0" xfId="0" applyFill="1" applyProtection="1">
      <protection hidden="1"/>
    </xf>
    <xf numFmtId="0" fontId="0" fillId="26" borderId="0" xfId="0" applyFill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vertical="center" shrinkToFit="1"/>
      <protection hidden="1"/>
    </xf>
    <xf numFmtId="0" fontId="81" fillId="0" borderId="14" xfId="0" applyFont="1" applyBorder="1" applyAlignment="1" applyProtection="1">
      <alignment horizontal="center" vertical="center" shrinkToFit="1"/>
      <protection hidden="1"/>
    </xf>
    <xf numFmtId="0" fontId="81" fillId="0" borderId="0" xfId="0" applyFont="1" applyAlignment="1" applyProtection="1">
      <alignment shrinkToFit="1"/>
      <protection hidden="1"/>
    </xf>
    <xf numFmtId="0" fontId="81" fillId="3" borderId="14" xfId="0" applyFont="1" applyFill="1" applyBorder="1" applyAlignment="1" applyProtection="1">
      <alignment vertical="center" shrinkToFit="1"/>
      <protection hidden="1"/>
    </xf>
    <xf numFmtId="0" fontId="81" fillId="3" borderId="73" xfId="0" applyFont="1" applyFill="1" applyBorder="1" applyAlignment="1" applyProtection="1">
      <alignment vertical="center" shrinkToFit="1"/>
      <protection hidden="1"/>
    </xf>
    <xf numFmtId="0" fontId="80" fillId="23" borderId="0" xfId="0" applyFont="1" applyFill="1" applyAlignment="1" applyProtection="1">
      <alignment horizontal="center" vertical="center" shrinkToFit="1"/>
      <protection hidden="1"/>
    </xf>
    <xf numFmtId="164" fontId="80" fillId="23" borderId="0" xfId="0" applyNumberFormat="1" applyFont="1" applyFill="1" applyAlignment="1" applyProtection="1">
      <alignment horizontal="center" vertical="center" shrinkToFit="1"/>
      <protection hidden="1"/>
    </xf>
    <xf numFmtId="164" fontId="80" fillId="23" borderId="104" xfId="0" applyNumberFormat="1" applyFont="1" applyFill="1" applyBorder="1" applyAlignment="1" applyProtection="1">
      <alignment horizontal="center" vertical="center" shrinkToFit="1"/>
      <protection hidden="1"/>
    </xf>
    <xf numFmtId="0" fontId="26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17" borderId="0" xfId="0" applyFont="1" applyFill="1" applyBorder="1" applyAlignment="1" applyProtection="1">
      <alignment horizontal="center" vertical="center"/>
      <protection hidden="1"/>
    </xf>
    <xf numFmtId="0" fontId="41" fillId="20" borderId="0" xfId="0" applyFont="1" applyFill="1" applyBorder="1" applyAlignment="1" applyProtection="1">
      <alignment vertical="center"/>
      <protection hidden="1"/>
    </xf>
    <xf numFmtId="0" fontId="85" fillId="3" borderId="135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1" fontId="85" fillId="3" borderId="136" xfId="0" applyNumberFormat="1" applyFont="1" applyFill="1" applyBorder="1" applyAlignment="1">
      <alignment horizontal="center"/>
    </xf>
    <xf numFmtId="0" fontId="85" fillId="3" borderId="136" xfId="0" applyFont="1" applyFill="1" applyBorder="1" applyAlignment="1">
      <alignment horizontal="center"/>
    </xf>
    <xf numFmtId="0" fontId="85" fillId="3" borderId="135" xfId="0" applyFont="1" applyFill="1" applyBorder="1" applyAlignment="1">
      <alignment horizontal="center"/>
    </xf>
    <xf numFmtId="0" fontId="85" fillId="3" borderId="26" xfId="0" applyFont="1" applyFill="1" applyBorder="1" applyAlignment="1">
      <alignment horizontal="center"/>
    </xf>
    <xf numFmtId="0" fontId="86" fillId="3" borderId="26" xfId="0" applyFont="1" applyFill="1" applyBorder="1" applyAlignment="1">
      <alignment horizontal="center"/>
    </xf>
    <xf numFmtId="0" fontId="85" fillId="3" borderId="26" xfId="0" applyFont="1" applyFill="1" applyBorder="1"/>
    <xf numFmtId="0" fontId="85" fillId="3" borderId="136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1" xfId="0" applyFill="1" applyBorder="1" applyAlignment="1" applyProtection="1">
      <alignment horizontal="center" vertical="center"/>
      <protection hidden="1"/>
    </xf>
    <xf numFmtId="0" fontId="26" fillId="0" borderId="37" xfId="0" applyFont="1" applyFill="1" applyBorder="1" applyAlignment="1" applyProtection="1">
      <alignment horizontal="center" vertical="center"/>
      <protection hidden="1"/>
    </xf>
    <xf numFmtId="0" fontId="26" fillId="0" borderId="110" xfId="0" applyFont="1" applyFill="1" applyBorder="1" applyAlignment="1" applyProtection="1">
      <alignment horizontal="center" vertical="center"/>
      <protection hidden="1"/>
    </xf>
    <xf numFmtId="0" fontId="11" fillId="0" borderId="111" xfId="0" applyFont="1" applyFill="1" applyBorder="1" applyAlignment="1" applyProtection="1">
      <alignment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41" fillId="13" borderId="113" xfId="0" applyFont="1" applyFill="1" applyBorder="1" applyAlignment="1" applyProtection="1">
      <alignment horizontal="center" vertical="center" shrinkToFit="1"/>
      <protection hidden="1"/>
    </xf>
    <xf numFmtId="0" fontId="31" fillId="12" borderId="7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/>
      <protection hidden="1"/>
    </xf>
    <xf numFmtId="0" fontId="87" fillId="0" borderId="0" xfId="0" applyFont="1" applyAlignment="1" applyProtection="1">
      <alignment shrinkToFit="1"/>
      <protection hidden="1"/>
    </xf>
    <xf numFmtId="0" fontId="88" fillId="0" borderId="0" xfId="0" applyFont="1" applyFill="1" applyBorder="1" applyAlignment="1" applyProtection="1">
      <alignment vertical="center" shrinkToFit="1"/>
      <protection hidden="1"/>
    </xf>
    <xf numFmtId="0" fontId="87" fillId="0" borderId="0" xfId="0" applyFont="1" applyProtection="1">
      <protection hidden="1"/>
    </xf>
    <xf numFmtId="0" fontId="1" fillId="0" borderId="72" xfId="0" applyFont="1" applyBorder="1" applyAlignment="1" applyProtection="1">
      <alignment vertical="center" textRotation="90"/>
      <protection hidden="1"/>
    </xf>
    <xf numFmtId="0" fontId="1" fillId="0" borderId="72" xfId="0" applyFont="1" applyBorder="1" applyAlignment="1" applyProtection="1">
      <alignment horizontal="center" vertical="top"/>
      <protection hidden="1"/>
    </xf>
    <xf numFmtId="0" fontId="81" fillId="0" borderId="72" xfId="0" applyFont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 shrinkToFit="1"/>
      <protection hidden="1"/>
    </xf>
    <xf numFmtId="0" fontId="26" fillId="25" borderId="13" xfId="0" applyFont="1" applyFill="1" applyBorder="1" applyAlignment="1" applyProtection="1">
      <alignment horizontal="center" vertical="center"/>
      <protection hidden="1"/>
    </xf>
    <xf numFmtId="0" fontId="26" fillId="0" borderId="13" xfId="0" applyFont="1" applyFill="1" applyBorder="1" applyAlignment="1" applyProtection="1">
      <alignment horizontal="center" vertical="center"/>
      <protection hidden="1"/>
    </xf>
    <xf numFmtId="0" fontId="26" fillId="4" borderId="150" xfId="0" applyFont="1" applyFill="1" applyBorder="1" applyAlignment="1" applyProtection="1">
      <alignment horizontal="center" vertical="center"/>
      <protection hidden="1"/>
    </xf>
    <xf numFmtId="0" fontId="26" fillId="25" borderId="16" xfId="0" applyFont="1" applyFill="1" applyBorder="1" applyAlignment="1" applyProtection="1">
      <alignment horizontal="center" vertical="center"/>
      <protection hidden="1"/>
    </xf>
    <xf numFmtId="0" fontId="72" fillId="13" borderId="0" xfId="0" applyFont="1" applyFill="1" applyBorder="1" applyAlignment="1" applyProtection="1">
      <alignment horizontal="center" vertical="center"/>
      <protection hidden="1"/>
    </xf>
    <xf numFmtId="0" fontId="6" fillId="13" borderId="0" xfId="0" applyFont="1" applyFill="1" applyBorder="1" applyAlignment="1" applyProtection="1">
      <alignment vertical="center" shrinkToFit="1"/>
      <protection hidden="1"/>
    </xf>
    <xf numFmtId="0" fontId="66" fillId="13" borderId="0" xfId="0" applyNumberFormat="1" applyFont="1" applyFill="1" applyBorder="1" applyAlignment="1" applyProtection="1">
      <alignment vertical="center" shrinkToFit="1"/>
      <protection hidden="1"/>
    </xf>
    <xf numFmtId="0" fontId="65" fillId="13" borderId="0" xfId="0" applyFont="1" applyFill="1" applyBorder="1" applyAlignment="1" applyProtection="1">
      <alignment vertical="center" shrinkToFit="1"/>
      <protection hidden="1"/>
    </xf>
    <xf numFmtId="0" fontId="33" fillId="13" borderId="0" xfId="0" applyFont="1" applyFill="1" applyBorder="1" applyProtection="1">
      <protection hidden="1"/>
    </xf>
    <xf numFmtId="0" fontId="0" fillId="13" borderId="0" xfId="0" applyFill="1" applyBorder="1" applyProtection="1">
      <protection hidden="1"/>
    </xf>
    <xf numFmtId="0" fontId="0" fillId="13" borderId="0" xfId="0" applyFill="1" applyBorder="1" applyAlignment="1" applyProtection="1">
      <protection hidden="1"/>
    </xf>
    <xf numFmtId="0" fontId="36" fillId="14" borderId="47" xfId="0" applyNumberFormat="1" applyFont="1" applyFill="1" applyBorder="1" applyAlignment="1" applyProtection="1">
      <alignment horizontal="center" vertical="center"/>
      <protection hidden="1"/>
    </xf>
    <xf numFmtId="0" fontId="28" fillId="4" borderId="65" xfId="0" applyNumberFormat="1" applyFont="1" applyFill="1" applyBorder="1" applyAlignment="1" applyProtection="1">
      <alignment horizontal="center" vertical="center" wrapText="1"/>
      <protection hidden="1"/>
    </xf>
    <xf numFmtId="0" fontId="26" fillId="7" borderId="151" xfId="0" applyFont="1" applyFill="1" applyBorder="1" applyAlignment="1" applyProtection="1">
      <alignment horizontal="center" vertical="center"/>
      <protection locked="0" hidden="1"/>
    </xf>
    <xf numFmtId="0" fontId="26" fillId="7" borderId="152" xfId="0" applyFont="1" applyFill="1" applyBorder="1" applyAlignment="1" applyProtection="1">
      <alignment horizontal="center" vertical="center"/>
      <protection locked="0" hidden="1"/>
    </xf>
    <xf numFmtId="0" fontId="26" fillId="0" borderId="153" xfId="0" applyFont="1" applyFill="1" applyBorder="1" applyAlignment="1" applyProtection="1">
      <alignment horizontal="center" vertical="center"/>
      <protection hidden="1"/>
    </xf>
    <xf numFmtId="165" fontId="6" fillId="3" borderId="113" xfId="0" applyNumberFormat="1" applyFont="1" applyFill="1" applyBorder="1" applyAlignment="1" applyProtection="1">
      <alignment vertical="center" shrinkToFit="1"/>
      <protection locked="0" hidden="1"/>
    </xf>
    <xf numFmtId="0" fontId="13" fillId="0" borderId="0" xfId="0" applyFont="1"/>
    <xf numFmtId="0" fontId="33" fillId="28" borderId="26" xfId="0" applyFont="1" applyFill="1" applyBorder="1" applyAlignment="1" applyProtection="1">
      <alignment horizontal="center" vertical="center"/>
      <protection locked="0"/>
    </xf>
    <xf numFmtId="0" fontId="33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28" borderId="25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165" fontId="13" fillId="0" borderId="0" xfId="0" applyNumberFormat="1" applyFont="1" applyProtection="1"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/>
    <xf numFmtId="0" fontId="89" fillId="29" borderId="26" xfId="0" applyFont="1" applyFill="1" applyBorder="1" applyAlignment="1">
      <alignment horizontal="center" vertical="center"/>
    </xf>
    <xf numFmtId="0" fontId="90" fillId="29" borderId="73" xfId="0" applyFont="1" applyFill="1" applyBorder="1" applyAlignment="1">
      <alignment horizontal="center" vertical="center" readingOrder="2"/>
    </xf>
    <xf numFmtId="0" fontId="91" fillId="29" borderId="26" xfId="0" applyFont="1" applyFill="1" applyBorder="1" applyAlignment="1">
      <alignment horizontal="center" readingOrder="2"/>
    </xf>
    <xf numFmtId="0" fontId="92" fillId="29" borderId="73" xfId="0" applyFont="1" applyFill="1" applyBorder="1" applyAlignment="1">
      <alignment horizontal="center" vertical="center" shrinkToFit="1" readingOrder="2"/>
    </xf>
    <xf numFmtId="0" fontId="93" fillId="29" borderId="26" xfId="0" applyFont="1" applyFill="1" applyBorder="1" applyAlignment="1">
      <alignment horizontal="center" vertical="center" shrinkToFit="1" readingOrder="2"/>
    </xf>
    <xf numFmtId="0" fontId="93" fillId="29" borderId="26" xfId="5" applyFont="1" applyFill="1" applyBorder="1" applyAlignment="1">
      <alignment horizontal="center" vertical="center" shrinkToFit="1" readingOrder="2"/>
    </xf>
    <xf numFmtId="0" fontId="94" fillId="29" borderId="26" xfId="5" applyFont="1" applyFill="1" applyBorder="1" applyAlignment="1">
      <alignment horizontal="center" vertical="center" shrinkToFit="1" readingOrder="2"/>
    </xf>
    <xf numFmtId="0" fontId="91" fillId="29" borderId="26" xfId="0" applyFont="1" applyFill="1" applyBorder="1" applyAlignment="1">
      <alignment horizontal="center" vertical="center" readingOrder="2"/>
    </xf>
    <xf numFmtId="0" fontId="91" fillId="29" borderId="32" xfId="0" applyFont="1" applyFill="1" applyBorder="1" applyAlignment="1">
      <alignment horizontal="center" vertical="center" readingOrder="2"/>
    </xf>
    <xf numFmtId="0" fontId="94" fillId="29" borderId="26" xfId="0" applyFont="1" applyFill="1" applyBorder="1" applyAlignment="1">
      <alignment horizontal="center" vertical="center" shrinkToFit="1" readingOrder="2"/>
    </xf>
    <xf numFmtId="0" fontId="94" fillId="29" borderId="32" xfId="0" applyFont="1" applyFill="1" applyBorder="1" applyAlignment="1">
      <alignment horizontal="center" vertical="center" shrinkToFit="1" readingOrder="2"/>
    </xf>
    <xf numFmtId="0" fontId="94" fillId="29" borderId="32" xfId="5" applyFont="1" applyFill="1" applyBorder="1" applyAlignment="1">
      <alignment horizontal="center" vertical="center" shrinkToFit="1" readingOrder="2"/>
    </xf>
    <xf numFmtId="0" fontId="59" fillId="13" borderId="81" xfId="1" applyFont="1" applyFill="1" applyBorder="1" applyAlignment="1">
      <alignment horizontal="right"/>
    </xf>
    <xf numFmtId="0" fontId="59" fillId="13" borderId="54" xfId="1" applyFont="1" applyFill="1" applyBorder="1" applyAlignment="1">
      <alignment horizontal="right"/>
    </xf>
    <xf numFmtId="0" fontId="59" fillId="13" borderId="82" xfId="1" applyFont="1" applyFill="1" applyBorder="1" applyAlignment="1">
      <alignment horizontal="right"/>
    </xf>
    <xf numFmtId="0" fontId="57" fillId="13" borderId="98" xfId="0" applyFont="1" applyFill="1" applyBorder="1" applyAlignment="1">
      <alignment horizontal="right" vertical="center"/>
    </xf>
    <xf numFmtId="0" fontId="57" fillId="13" borderId="77" xfId="0" applyFont="1" applyFill="1" applyBorder="1" applyAlignment="1">
      <alignment horizontal="right" vertical="center"/>
    </xf>
    <xf numFmtId="0" fontId="57" fillId="13" borderId="99" xfId="0" applyFont="1" applyFill="1" applyBorder="1" applyAlignment="1">
      <alignment horizontal="right" vertical="center"/>
    </xf>
    <xf numFmtId="9" fontId="57" fillId="13" borderId="90" xfId="1" applyNumberFormat="1" applyFont="1" applyFill="1" applyBorder="1" applyAlignment="1">
      <alignment horizontal="right" vertical="center"/>
    </xf>
    <xf numFmtId="0" fontId="57" fillId="13" borderId="91" xfId="1" applyFont="1" applyFill="1" applyBorder="1" applyAlignment="1">
      <alignment horizontal="right" vertical="center"/>
    </xf>
    <xf numFmtId="0" fontId="53" fillId="0" borderId="0" xfId="0" applyFont="1" applyAlignment="1">
      <alignment horizontal="center"/>
    </xf>
    <xf numFmtId="0" fontId="54" fillId="0" borderId="9" xfId="0" applyFont="1" applyBorder="1" applyAlignment="1">
      <alignment horizontal="right"/>
    </xf>
    <xf numFmtId="0" fontId="62" fillId="13" borderId="87" xfId="0" applyFont="1" applyFill="1" applyBorder="1" applyAlignment="1">
      <alignment horizontal="center" vertical="center"/>
    </xf>
    <xf numFmtId="0" fontId="60" fillId="13" borderId="88" xfId="0" applyFont="1" applyFill="1" applyBorder="1" applyAlignment="1">
      <alignment horizontal="center" vertical="center"/>
    </xf>
    <xf numFmtId="0" fontId="60" fillId="13" borderId="89" xfId="0" applyFont="1" applyFill="1" applyBorder="1" applyAlignment="1">
      <alignment horizontal="center" vertical="center"/>
    </xf>
    <xf numFmtId="0" fontId="60" fillId="13" borderId="90" xfId="0" applyFont="1" applyFill="1" applyBorder="1" applyAlignment="1">
      <alignment horizontal="center" vertical="center"/>
    </xf>
    <xf numFmtId="0" fontId="60" fillId="13" borderId="94" xfId="0" applyFont="1" applyFill="1" applyBorder="1" applyAlignment="1">
      <alignment horizontal="center" vertical="center"/>
    </xf>
    <xf numFmtId="0" fontId="60" fillId="13" borderId="95" xfId="0" applyFont="1" applyFill="1" applyBorder="1" applyAlignment="1">
      <alignment horizontal="center" vertical="center"/>
    </xf>
    <xf numFmtId="0" fontId="60" fillId="13" borderId="96" xfId="0" applyFont="1" applyFill="1" applyBorder="1" applyAlignment="1">
      <alignment horizontal="center" vertical="center"/>
    </xf>
    <xf numFmtId="0" fontId="60" fillId="13" borderId="97" xfId="0" applyFont="1" applyFill="1" applyBorder="1" applyAlignment="1">
      <alignment horizontal="center" vertical="center"/>
    </xf>
    <xf numFmtId="0" fontId="59" fillId="13" borderId="78" xfId="1" applyFont="1" applyFill="1" applyBorder="1" applyAlignment="1">
      <alignment horizontal="right"/>
    </xf>
    <xf numFmtId="0" fontId="59" fillId="13" borderId="79" xfId="1" applyFont="1" applyFill="1" applyBorder="1" applyAlignment="1">
      <alignment horizontal="right"/>
    </xf>
    <xf numFmtId="0" fontId="59" fillId="13" borderId="80" xfId="1" applyFont="1" applyFill="1" applyBorder="1" applyAlignment="1">
      <alignment horizontal="right"/>
    </xf>
    <xf numFmtId="0" fontId="57" fillId="13" borderId="89" xfId="0" applyFont="1" applyFill="1" applyBorder="1" applyAlignment="1">
      <alignment horizontal="right" vertical="center"/>
    </xf>
    <xf numFmtId="0" fontId="57" fillId="13" borderId="90" xfId="0" applyFont="1" applyFill="1" applyBorder="1" applyAlignment="1">
      <alignment horizontal="right" vertical="center"/>
    </xf>
    <xf numFmtId="0" fontId="63" fillId="13" borderId="90" xfId="0" applyFont="1" applyFill="1" applyBorder="1" applyAlignment="1">
      <alignment horizontal="right" vertical="center"/>
    </xf>
    <xf numFmtId="0" fontId="63" fillId="13" borderId="91" xfId="0" applyFont="1" applyFill="1" applyBorder="1" applyAlignment="1">
      <alignment horizontal="right" vertical="center"/>
    </xf>
    <xf numFmtId="0" fontId="57" fillId="13" borderId="83" xfId="0" applyFont="1" applyFill="1" applyBorder="1" applyAlignment="1">
      <alignment horizontal="center"/>
    </xf>
    <xf numFmtId="0" fontId="57" fillId="13" borderId="75" xfId="0" applyFont="1" applyFill="1" applyBorder="1" applyAlignment="1">
      <alignment horizontal="center"/>
    </xf>
    <xf numFmtId="0" fontId="57" fillId="13" borderId="84" xfId="0" applyFont="1" applyFill="1" applyBorder="1" applyAlignment="1">
      <alignment horizontal="center"/>
    </xf>
    <xf numFmtId="0" fontId="57" fillId="13" borderId="85" xfId="0" applyFont="1" applyFill="1" applyBorder="1" applyAlignment="1">
      <alignment horizontal="center"/>
    </xf>
    <xf numFmtId="0" fontId="57" fillId="13" borderId="74" xfId="0" applyFont="1" applyFill="1" applyBorder="1" applyAlignment="1">
      <alignment horizontal="center"/>
    </xf>
    <xf numFmtId="0" fontId="57" fillId="13" borderId="86" xfId="0" applyFont="1" applyFill="1" applyBorder="1" applyAlignment="1">
      <alignment horizontal="center"/>
    </xf>
    <xf numFmtId="0" fontId="57" fillId="13" borderId="81" xfId="0" applyFont="1" applyFill="1" applyBorder="1" applyAlignment="1">
      <alignment horizontal="center"/>
    </xf>
    <xf numFmtId="0" fontId="57" fillId="13" borderId="54" xfId="0" applyFont="1" applyFill="1" applyBorder="1" applyAlignment="1">
      <alignment horizontal="center"/>
    </xf>
    <xf numFmtId="0" fontId="58" fillId="13" borderId="54" xfId="1" applyFont="1" applyFill="1" applyBorder="1" applyAlignment="1">
      <alignment horizontal="center"/>
    </xf>
    <xf numFmtId="0" fontId="58" fillId="13" borderId="82" xfId="1" applyFont="1" applyFill="1" applyBorder="1" applyAlignment="1">
      <alignment horizontal="center"/>
    </xf>
    <xf numFmtId="9" fontId="57" fillId="13" borderId="90" xfId="0" applyNumberFormat="1" applyFont="1" applyFill="1" applyBorder="1" applyAlignment="1">
      <alignment horizontal="right" vertical="center" wrapText="1"/>
    </xf>
    <xf numFmtId="0" fontId="57" fillId="13" borderId="91" xfId="0" applyFont="1" applyFill="1" applyBorder="1" applyAlignment="1">
      <alignment horizontal="right" vertical="center" wrapText="1"/>
    </xf>
    <xf numFmtId="0" fontId="57" fillId="13" borderId="98" xfId="0" applyFont="1" applyFill="1" applyBorder="1" applyAlignment="1">
      <alignment horizontal="right" wrapText="1"/>
    </xf>
    <xf numFmtId="0" fontId="57" fillId="13" borderId="77" xfId="0" applyFont="1" applyFill="1" applyBorder="1" applyAlignment="1">
      <alignment horizontal="right" wrapText="1"/>
    </xf>
    <xf numFmtId="0" fontId="57" fillId="13" borderId="99" xfId="0" applyFont="1" applyFill="1" applyBorder="1" applyAlignment="1">
      <alignment horizontal="right" wrapText="1"/>
    </xf>
    <xf numFmtId="9" fontId="57" fillId="13" borderId="90" xfId="0" applyNumberFormat="1" applyFont="1" applyFill="1" applyBorder="1" applyAlignment="1">
      <alignment horizontal="right" readingOrder="1"/>
    </xf>
    <xf numFmtId="0" fontId="57" fillId="13" borderId="91" xfId="0" applyFont="1" applyFill="1" applyBorder="1" applyAlignment="1">
      <alignment horizontal="right" readingOrder="1"/>
    </xf>
    <xf numFmtId="0" fontId="57" fillId="13" borderId="75" xfId="0" applyFont="1" applyFill="1" applyBorder="1" applyAlignment="1">
      <alignment horizontal="center" vertical="center" wrapText="1"/>
    </xf>
    <xf numFmtId="0" fontId="57" fillId="13" borderId="0" xfId="0" applyFont="1" applyFill="1" applyBorder="1" applyAlignment="1">
      <alignment horizontal="center" vertical="center" wrapText="1"/>
    </xf>
    <xf numFmtId="0" fontId="57" fillId="13" borderId="98" xfId="0" applyFont="1" applyFill="1" applyBorder="1" applyAlignment="1">
      <alignment horizontal="right"/>
    </xf>
    <xf numFmtId="0" fontId="57" fillId="13" borderId="77" xfId="0" applyFont="1" applyFill="1" applyBorder="1" applyAlignment="1">
      <alignment horizontal="right"/>
    </xf>
    <xf numFmtId="0" fontId="57" fillId="13" borderId="99" xfId="0" applyFont="1" applyFill="1" applyBorder="1" applyAlignment="1">
      <alignment horizontal="right"/>
    </xf>
    <xf numFmtId="9" fontId="57" fillId="13" borderId="90" xfId="0" applyNumberFormat="1" applyFont="1" applyFill="1" applyBorder="1" applyAlignment="1">
      <alignment horizontal="right" vertical="center"/>
    </xf>
    <xf numFmtId="0" fontId="57" fillId="13" borderId="91" xfId="0" applyFont="1" applyFill="1" applyBorder="1" applyAlignment="1">
      <alignment horizontal="right" vertical="center"/>
    </xf>
    <xf numFmtId="0" fontId="57" fillId="13" borderId="89" xfId="0" applyFont="1" applyFill="1" applyBorder="1" applyAlignment="1">
      <alignment horizontal="right" vertical="center" wrapText="1"/>
    </xf>
    <xf numFmtId="0" fontId="57" fillId="13" borderId="90" xfId="0" applyFont="1" applyFill="1" applyBorder="1" applyAlignment="1">
      <alignment horizontal="right" vertical="center" wrapText="1"/>
    </xf>
    <xf numFmtId="9" fontId="57" fillId="13" borderId="90" xfId="0" applyNumberFormat="1" applyFont="1" applyFill="1" applyBorder="1" applyAlignment="1">
      <alignment horizontal="right"/>
    </xf>
    <xf numFmtId="0" fontId="57" fillId="13" borderId="91" xfId="0" applyFont="1" applyFill="1" applyBorder="1" applyAlignment="1">
      <alignment horizontal="right"/>
    </xf>
    <xf numFmtId="0" fontId="57" fillId="13" borderId="90" xfId="0" applyFont="1" applyFill="1" applyBorder="1" applyAlignment="1">
      <alignment horizontal="right"/>
    </xf>
    <xf numFmtId="0" fontId="57" fillId="13" borderId="81" xfId="0" applyFont="1" applyFill="1" applyBorder="1" applyAlignment="1">
      <alignment horizontal="right" wrapText="1"/>
    </xf>
    <xf numFmtId="0" fontId="57" fillId="13" borderId="54" xfId="0" applyFont="1" applyFill="1" applyBorder="1" applyAlignment="1">
      <alignment horizontal="right" wrapText="1"/>
    </xf>
    <xf numFmtId="0" fontId="57" fillId="13" borderId="82" xfId="0" applyFont="1" applyFill="1" applyBorder="1" applyAlignment="1">
      <alignment horizontal="right" wrapText="1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right" vertical="center" wrapText="1"/>
    </xf>
    <xf numFmtId="0" fontId="54" fillId="0" borderId="0" xfId="0" applyFont="1" applyFill="1" applyBorder="1" applyAlignment="1">
      <alignment horizontal="right" vertical="center" wrapText="1"/>
    </xf>
    <xf numFmtId="0" fontId="54" fillId="0" borderId="0" xfId="0" applyFont="1" applyFill="1" applyAlignment="1">
      <alignment horizontal="center"/>
    </xf>
    <xf numFmtId="0" fontId="57" fillId="13" borderId="75" xfId="0" applyFont="1" applyFill="1" applyBorder="1" applyAlignment="1">
      <alignment horizontal="center" wrapText="1"/>
    </xf>
    <xf numFmtId="0" fontId="57" fillId="13" borderId="0" xfId="0" applyFont="1" applyFill="1" applyBorder="1" applyAlignment="1">
      <alignment horizontal="center" wrapText="1"/>
    </xf>
    <xf numFmtId="0" fontId="57" fillId="13" borderId="9" xfId="0" applyFont="1" applyFill="1" applyBorder="1" applyAlignment="1">
      <alignment horizontal="center" wrapText="1"/>
    </xf>
    <xf numFmtId="0" fontId="57" fillId="13" borderId="100" xfId="0" applyFont="1" applyFill="1" applyBorder="1" applyAlignment="1">
      <alignment horizontal="right" vertical="center"/>
    </xf>
    <xf numFmtId="0" fontId="57" fillId="13" borderId="101" xfId="0" applyFont="1" applyFill="1" applyBorder="1" applyAlignment="1">
      <alignment horizontal="right" vertical="center"/>
    </xf>
    <xf numFmtId="0" fontId="57" fillId="13" borderId="102" xfId="0" applyFont="1" applyFill="1" applyBorder="1" applyAlignment="1">
      <alignment horizontal="right" vertical="center"/>
    </xf>
    <xf numFmtId="9" fontId="57" fillId="13" borderId="92" xfId="0" applyNumberFormat="1" applyFont="1" applyFill="1" applyBorder="1" applyAlignment="1">
      <alignment horizontal="right" vertical="center"/>
    </xf>
    <xf numFmtId="0" fontId="57" fillId="13" borderId="93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75" fillId="28" borderId="0" xfId="0" applyFont="1" applyFill="1" applyAlignment="1">
      <alignment horizontal="right" vertical="center"/>
    </xf>
    <xf numFmtId="0" fontId="77" fillId="0" borderId="0" xfId="0" applyFont="1" applyAlignment="1">
      <alignment horizontal="center" vertical="center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41" fillId="13" borderId="113" xfId="0" applyFont="1" applyFill="1" applyBorder="1" applyAlignment="1" applyProtection="1">
      <alignment horizontal="center" vertical="center" shrinkToFit="1"/>
      <protection hidden="1"/>
    </xf>
    <xf numFmtId="0" fontId="6" fillId="3" borderId="113" xfId="0" applyFont="1" applyFill="1" applyBorder="1" applyAlignment="1" applyProtection="1">
      <alignment horizontal="center" vertical="center" shrinkToFit="1"/>
      <protection hidden="1"/>
    </xf>
    <xf numFmtId="0" fontId="41" fillId="26" borderId="113" xfId="0" applyFont="1" applyFill="1" applyBorder="1" applyAlignment="1" applyProtection="1">
      <alignment horizontal="center" vertical="center" shrinkToFit="1"/>
      <protection hidden="1"/>
    </xf>
    <xf numFmtId="0" fontId="6" fillId="3" borderId="113" xfId="1" applyFont="1" applyFill="1" applyBorder="1" applyAlignment="1" applyProtection="1">
      <alignment horizontal="center" vertical="center" shrinkToFit="1"/>
      <protection locked="0" hidden="1"/>
    </xf>
    <xf numFmtId="0" fontId="5" fillId="3" borderId="31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3" fillId="5" borderId="27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27" fillId="5" borderId="27" xfId="0" applyFont="1" applyFill="1" applyBorder="1" applyAlignment="1" applyProtection="1">
      <alignment horizontal="center" vertical="center"/>
      <protection hidden="1"/>
    </xf>
    <xf numFmtId="0" fontId="27" fillId="5" borderId="7" xfId="0" applyFont="1" applyFill="1" applyBorder="1" applyAlignment="1" applyProtection="1">
      <alignment horizontal="center" vertical="center"/>
      <protection hidden="1"/>
    </xf>
    <xf numFmtId="0" fontId="27" fillId="5" borderId="35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center" vertical="center" wrapText="1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32" xfId="0" applyFont="1" applyFill="1" applyBorder="1" applyAlignment="1" applyProtection="1">
      <alignment horizontal="center" vertical="center" shrinkToFit="1"/>
      <protection hidden="1"/>
    </xf>
    <xf numFmtId="0" fontId="5" fillId="3" borderId="14" xfId="0" applyFont="1" applyFill="1" applyBorder="1" applyAlignment="1" applyProtection="1">
      <alignment horizontal="center" vertical="center" shrinkToFit="1"/>
      <protection hidden="1"/>
    </xf>
    <xf numFmtId="0" fontId="6" fillId="3" borderId="34" xfId="0" applyFont="1" applyFill="1" applyBorder="1" applyAlignment="1" applyProtection="1">
      <alignment horizontal="center" vertical="center" shrinkToFit="1"/>
      <protection hidden="1"/>
    </xf>
    <xf numFmtId="0" fontId="6" fillId="3" borderId="16" xfId="0" applyFont="1" applyFill="1" applyBorder="1" applyAlignment="1" applyProtection="1">
      <alignment horizontal="center" vertical="center" shrinkToFit="1"/>
      <protection hidden="1"/>
    </xf>
    <xf numFmtId="0" fontId="6" fillId="3" borderId="34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41" fillId="27" borderId="113" xfId="0" applyFont="1" applyFill="1" applyBorder="1" applyAlignment="1" applyProtection="1">
      <alignment horizontal="center" vertical="center" shrinkToFit="1"/>
      <protection hidden="1"/>
    </xf>
    <xf numFmtId="0" fontId="31" fillId="12" borderId="8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 wrapText="1"/>
      <protection hidden="1"/>
    </xf>
    <xf numFmtId="0" fontId="31" fillId="12" borderId="36" xfId="0" applyFont="1" applyFill="1" applyBorder="1" applyAlignment="1" applyProtection="1">
      <alignment horizontal="center" vertical="center" wrapText="1"/>
      <protection hidden="1"/>
    </xf>
    <xf numFmtId="0" fontId="73" fillId="13" borderId="0" xfId="1" applyFont="1" applyFill="1" applyBorder="1" applyAlignment="1" applyProtection="1">
      <alignment horizontal="center" vertical="center" shrinkToFit="1"/>
      <protection hidden="1"/>
    </xf>
    <xf numFmtId="0" fontId="6" fillId="3" borderId="113" xfId="1" applyFont="1" applyFill="1" applyBorder="1" applyAlignment="1" applyProtection="1">
      <alignment horizontal="center" vertical="center" shrinkToFit="1"/>
      <protection hidden="1"/>
    </xf>
    <xf numFmtId="165" fontId="6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3" fillId="13" borderId="0" xfId="0" applyFont="1" applyFill="1" applyBorder="1" applyAlignment="1" applyProtection="1">
      <alignment horizontal="center" vertical="center" shrinkToFit="1"/>
      <protection hidden="1"/>
    </xf>
    <xf numFmtId="49" fontId="6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6" fillId="0" borderId="113" xfId="1" applyFont="1" applyFill="1" applyBorder="1" applyAlignment="1" applyProtection="1">
      <alignment horizontal="center" vertical="center" shrinkToFit="1"/>
      <protection hidden="1"/>
    </xf>
    <xf numFmtId="0" fontId="39" fillId="13" borderId="0" xfId="1" applyFont="1" applyFill="1" applyBorder="1" applyAlignment="1" applyProtection="1">
      <alignment horizontal="center" vertical="center"/>
      <protection hidden="1"/>
    </xf>
    <xf numFmtId="0" fontId="39" fillId="13" borderId="0" xfId="1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 applyProtection="1">
      <alignment horizontal="center" vertical="center" shrinkToFit="1"/>
      <protection hidden="1"/>
    </xf>
    <xf numFmtId="0" fontId="6" fillId="3" borderId="14" xfId="0" applyFont="1" applyFill="1" applyBorder="1" applyAlignment="1" applyProtection="1">
      <alignment horizontal="center" vertical="center" shrinkToFit="1"/>
      <protection hidden="1"/>
    </xf>
    <xf numFmtId="0" fontId="6" fillId="3" borderId="108" xfId="0" applyFont="1" applyFill="1" applyBorder="1" applyAlignment="1" applyProtection="1">
      <alignment horizontal="center" vertical="center" shrinkToFit="1"/>
      <protection locked="0" hidden="1"/>
    </xf>
    <xf numFmtId="0" fontId="6" fillId="3" borderId="29" xfId="0" applyFont="1" applyFill="1" applyBorder="1" applyAlignment="1" applyProtection="1">
      <alignment horizontal="center" vertical="center" shrinkToFit="1"/>
      <protection locked="0" hidden="1"/>
    </xf>
    <xf numFmtId="0" fontId="6" fillId="3" borderId="31" xfId="0" applyFont="1" applyFill="1" applyBorder="1" applyAlignment="1" applyProtection="1">
      <alignment horizontal="center"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37" fillId="13" borderId="0" xfId="1" applyFont="1" applyFill="1" applyBorder="1" applyAlignment="1" applyProtection="1">
      <alignment horizontal="center" vertical="center" wrapText="1"/>
      <protection hidden="1"/>
    </xf>
    <xf numFmtId="0" fontId="31" fillId="12" borderId="27" xfId="0" applyFont="1" applyFill="1" applyBorder="1" applyAlignment="1" applyProtection="1">
      <alignment horizontal="center" vertical="center"/>
      <protection hidden="1"/>
    </xf>
    <xf numFmtId="0" fontId="31" fillId="12" borderId="7" xfId="0" applyFont="1" applyFill="1" applyBorder="1" applyAlignment="1" applyProtection="1">
      <alignment horizontal="center" vertical="center"/>
      <protection hidden="1"/>
    </xf>
    <xf numFmtId="0" fontId="83" fillId="3" borderId="31" xfId="0" applyFont="1" applyFill="1" applyBorder="1" applyAlignment="1" applyProtection="1">
      <alignment horizontal="center" vertical="center" wrapText="1"/>
      <protection hidden="1"/>
    </xf>
    <xf numFmtId="0" fontId="83" fillId="3" borderId="14" xfId="0" applyFont="1" applyFill="1" applyBorder="1" applyAlignment="1" applyProtection="1">
      <alignment horizontal="center" vertical="center" wrapText="1"/>
      <protection hidden="1"/>
    </xf>
    <xf numFmtId="2" fontId="6" fillId="3" borderId="113" xfId="1" applyNumberFormat="1" applyFont="1" applyFill="1" applyBorder="1" applyAlignment="1" applyProtection="1">
      <alignment horizontal="center" vertical="center" shrinkToFit="1"/>
      <protection locked="0" hidden="1"/>
    </xf>
    <xf numFmtId="0" fontId="3" fillId="3" borderId="113" xfId="1" applyFont="1" applyFill="1" applyBorder="1" applyAlignment="1" applyProtection="1">
      <alignment horizontal="center" vertical="center" shrinkToFit="1"/>
      <protection hidden="1"/>
    </xf>
    <xf numFmtId="0" fontId="6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3" fillId="3" borderId="113" xfId="1" applyFont="1" applyFill="1" applyBorder="1" applyAlignment="1" applyProtection="1">
      <alignment horizontal="center" vertical="center" wrapText="1" shrinkToFit="1"/>
      <protection hidden="1"/>
    </xf>
    <xf numFmtId="0" fontId="73" fillId="3" borderId="113" xfId="1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horizontal="center" vertical="center" shrinkToFit="1"/>
      <protection hidden="1"/>
    </xf>
    <xf numFmtId="164" fontId="28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65" fillId="22" borderId="42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center" vertical="center" shrinkToFit="1"/>
      <protection locked="0" hidden="1"/>
    </xf>
    <xf numFmtId="0" fontId="5" fillId="3" borderId="14" xfId="0" applyFont="1" applyFill="1" applyBorder="1" applyAlignment="1" applyProtection="1">
      <alignment horizontal="center" vertical="center" shrinkToFit="1"/>
      <protection locked="0" hidden="1"/>
    </xf>
    <xf numFmtId="0" fontId="5" fillId="3" borderId="31" xfId="0" applyFont="1" applyFill="1" applyBorder="1" applyAlignment="1" applyProtection="1">
      <alignment horizontal="center" vertical="center" shrinkToFit="1"/>
      <protection hidden="1"/>
    </xf>
    <xf numFmtId="0" fontId="6" fillId="3" borderId="108" xfId="0" applyFont="1" applyFill="1" applyBorder="1" applyAlignment="1" applyProtection="1">
      <alignment horizontal="center" vertical="center"/>
      <protection hidden="1"/>
    </xf>
    <xf numFmtId="0" fontId="6" fillId="3" borderId="29" xfId="0" applyFont="1" applyFill="1" applyBorder="1" applyAlignment="1" applyProtection="1">
      <alignment horizontal="center" vertical="center"/>
      <protection hidden="1"/>
    </xf>
    <xf numFmtId="164" fontId="71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108" xfId="0" applyFont="1" applyFill="1" applyBorder="1" applyAlignment="1" applyProtection="1">
      <alignment horizontal="center" vertical="center" shrinkToFit="1"/>
      <protection hidden="1"/>
    </xf>
    <xf numFmtId="0" fontId="6" fillId="3" borderId="29" xfId="0" applyFont="1" applyFill="1" applyBorder="1" applyAlignment="1" applyProtection="1">
      <alignment horizontal="center" vertical="center" shrinkToFit="1"/>
      <protection hidden="1"/>
    </xf>
    <xf numFmtId="0" fontId="8" fillId="3" borderId="32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164" fontId="69" fillId="3" borderId="42" xfId="0" applyNumberFormat="1" applyFont="1" applyFill="1" applyBorder="1" applyAlignment="1" applyProtection="1">
      <alignment horizontal="center" vertical="center"/>
      <protection hidden="1"/>
    </xf>
    <xf numFmtId="0" fontId="5" fillId="3" borderId="106" xfId="0" applyFont="1" applyFill="1" applyBorder="1" applyAlignment="1" applyProtection="1">
      <alignment horizontal="center" vertical="center" shrinkToFit="1"/>
      <protection hidden="1"/>
    </xf>
    <xf numFmtId="0" fontId="5" fillId="3" borderId="29" xfId="0" applyFont="1" applyFill="1" applyBorder="1" applyAlignment="1" applyProtection="1">
      <alignment horizontal="center" vertical="center" shrinkToFit="1"/>
      <protection hidden="1"/>
    </xf>
    <xf numFmtId="0" fontId="31" fillId="12" borderId="35" xfId="0" applyFont="1" applyFill="1" applyBorder="1" applyAlignment="1" applyProtection="1">
      <alignment horizontal="center" vertical="center"/>
      <protection hidden="1"/>
    </xf>
    <xf numFmtId="0" fontId="70" fillId="6" borderId="0" xfId="0" applyFont="1" applyFill="1" applyBorder="1" applyAlignment="1" applyProtection="1">
      <alignment horizontal="center"/>
      <protection hidden="1"/>
    </xf>
    <xf numFmtId="0" fontId="5" fillId="3" borderId="106" xfId="0" applyFont="1" applyFill="1" applyBorder="1" applyAlignment="1" applyProtection="1">
      <alignment horizontal="center" vertical="center" wrapText="1"/>
      <protection locked="0" hidden="1"/>
    </xf>
    <xf numFmtId="0" fontId="5" fillId="3" borderId="29" xfId="0" applyFont="1" applyFill="1" applyBorder="1" applyAlignment="1" applyProtection="1">
      <alignment horizontal="center" vertical="center" wrapText="1"/>
      <protection locked="0" hidden="1"/>
    </xf>
    <xf numFmtId="164" fontId="28" fillId="14" borderId="0" xfId="0" applyNumberFormat="1" applyFont="1" applyFill="1" applyBorder="1" applyAlignment="1" applyProtection="1">
      <alignment horizontal="center" vertical="center" shrinkToFit="1"/>
      <protection hidden="1"/>
    </xf>
    <xf numFmtId="0" fontId="28" fillId="14" borderId="0" xfId="0" applyFont="1" applyFill="1" applyBorder="1" applyAlignment="1" applyProtection="1">
      <alignment horizontal="center" vertical="center"/>
      <protection locked="0" hidden="1"/>
    </xf>
    <xf numFmtId="0" fontId="67" fillId="22" borderId="42" xfId="0" applyFont="1" applyFill="1" applyBorder="1" applyAlignment="1" applyProtection="1">
      <alignment horizontal="center"/>
      <protection hidden="1"/>
    </xf>
    <xf numFmtId="0" fontId="31" fillId="13" borderId="0" xfId="0" applyFont="1" applyFill="1" applyBorder="1" applyAlignment="1" applyProtection="1">
      <alignment horizontal="center" vertical="center"/>
      <protection hidden="1"/>
    </xf>
    <xf numFmtId="0" fontId="41" fillId="20" borderId="0" xfId="0" applyFont="1" applyFill="1" applyBorder="1" applyAlignment="1" applyProtection="1">
      <alignment horizontal="center" vertical="center" shrinkToFit="1"/>
      <protection hidden="1"/>
    </xf>
    <xf numFmtId="164" fontId="27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41" fillId="20" borderId="0" xfId="0" applyFont="1" applyFill="1" applyBorder="1" applyAlignment="1" applyProtection="1">
      <alignment horizontal="center" vertical="center"/>
      <protection hidden="1"/>
    </xf>
    <xf numFmtId="0" fontId="44" fillId="20" borderId="128" xfId="0" applyFont="1" applyFill="1" applyBorder="1" applyAlignment="1" applyProtection="1">
      <alignment horizontal="center" vertical="center"/>
      <protection hidden="1"/>
    </xf>
    <xf numFmtId="0" fontId="8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32" fillId="2" borderId="34" xfId="0" applyFont="1" applyFill="1" applyBorder="1" applyAlignment="1" applyProtection="1">
      <alignment horizontal="center" vertical="center" shrinkToFit="1"/>
      <protection hidden="1"/>
    </xf>
    <xf numFmtId="0" fontId="32" fillId="2" borderId="16" xfId="0" applyFont="1" applyFill="1" applyBorder="1" applyAlignment="1" applyProtection="1">
      <alignment horizontal="center" vertical="center" shrinkToFit="1"/>
      <protection hidden="1"/>
    </xf>
    <xf numFmtId="0" fontId="32" fillId="2" borderId="105" xfId="0" applyFont="1" applyFill="1" applyBorder="1" applyAlignment="1" applyProtection="1">
      <alignment horizontal="center" vertical="center" shrinkToFit="1"/>
      <protection hidden="1"/>
    </xf>
    <xf numFmtId="0" fontId="1" fillId="0" borderId="72" xfId="0" applyFont="1" applyBorder="1" applyAlignment="1" applyProtection="1">
      <alignment horizontal="center" vertical="top"/>
      <protection hidden="1"/>
    </xf>
    <xf numFmtId="0" fontId="81" fillId="0" borderId="32" xfId="0" applyFont="1" applyBorder="1" applyAlignment="1" applyProtection="1">
      <alignment horizontal="right" vertical="center" shrinkToFit="1"/>
      <protection hidden="1"/>
    </xf>
    <xf numFmtId="0" fontId="81" fillId="0" borderId="14" xfId="0" applyFont="1" applyBorder="1" applyAlignment="1" applyProtection="1">
      <alignment horizontal="right" vertical="center" shrinkToFit="1"/>
      <protection hidden="1"/>
    </xf>
    <xf numFmtId="0" fontId="80" fillId="23" borderId="28" xfId="0" applyFont="1" applyFill="1" applyBorder="1" applyAlignment="1" applyProtection="1">
      <alignment horizontal="center" vertical="center" shrinkToFit="1"/>
      <protection hidden="1"/>
    </xf>
    <xf numFmtId="0" fontId="80" fillId="23" borderId="15" xfId="0" applyFont="1" applyFill="1" applyBorder="1" applyAlignment="1" applyProtection="1">
      <alignment horizontal="center" vertical="center" shrinkToFit="1"/>
      <protection hidden="1"/>
    </xf>
    <xf numFmtId="0" fontId="8" fillId="0" borderId="32" xfId="0" applyFont="1" applyBorder="1" applyAlignment="1" applyProtection="1">
      <alignment horizontal="right" vertical="center" shrinkToFit="1"/>
      <protection hidden="1"/>
    </xf>
    <xf numFmtId="0" fontId="8" fillId="0" borderId="14" xfId="0" applyFont="1" applyBorder="1" applyAlignment="1" applyProtection="1">
      <alignment horizontal="right" vertical="center" shrinkToFit="1"/>
      <protection hidden="1"/>
    </xf>
    <xf numFmtId="0" fontId="1" fillId="0" borderId="1" xfId="0" applyFont="1" applyBorder="1" applyAlignment="1" applyProtection="1">
      <alignment horizontal="right" vertical="center" shrinkToFit="1"/>
      <protection hidden="1"/>
    </xf>
    <xf numFmtId="0" fontId="1" fillId="0" borderId="13" xfId="0" applyFont="1" applyBorder="1" applyAlignment="1" applyProtection="1">
      <alignment horizontal="right" vertical="center" shrinkToFit="1"/>
      <protection hidden="1"/>
    </xf>
    <xf numFmtId="0" fontId="1" fillId="0" borderId="103" xfId="0" applyFont="1" applyBorder="1" applyAlignment="1" applyProtection="1">
      <alignment horizontal="right" vertical="center" shrinkToFit="1"/>
      <protection hidden="1"/>
    </xf>
    <xf numFmtId="0" fontId="8" fillId="0" borderId="15" xfId="0" applyFont="1" applyBorder="1" applyAlignment="1" applyProtection="1">
      <alignment horizontal="right" vertical="top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3" borderId="14" xfId="0" applyFont="1" applyFill="1" applyBorder="1" applyAlignment="1" applyProtection="1">
      <alignment horizontal="center" vertical="center" shrinkToFit="1"/>
      <protection hidden="1"/>
    </xf>
    <xf numFmtId="0" fontId="8" fillId="3" borderId="73" xfId="0" applyFont="1" applyFill="1" applyBorder="1" applyAlignment="1" applyProtection="1">
      <alignment horizontal="center" vertical="center" shrinkToFit="1"/>
      <protection hidden="1"/>
    </xf>
    <xf numFmtId="0" fontId="82" fillId="6" borderId="0" xfId="0" applyFont="1" applyFill="1" applyAlignment="1" applyProtection="1">
      <alignment horizontal="center" vertical="center" shrinkToFit="1"/>
      <protection hidden="1"/>
    </xf>
    <xf numFmtId="0" fontId="82" fillId="6" borderId="104" xfId="0" applyFont="1" applyFill="1" applyBorder="1" applyAlignment="1" applyProtection="1">
      <alignment horizontal="center" vertical="center" shrinkToFit="1"/>
      <protection hidden="1"/>
    </xf>
    <xf numFmtId="0" fontId="82" fillId="6" borderId="28" xfId="0" applyFont="1" applyFill="1" applyBorder="1" applyAlignment="1" applyProtection="1">
      <alignment horizontal="center" shrinkToFit="1"/>
      <protection hidden="1"/>
    </xf>
    <xf numFmtId="0" fontId="82" fillId="6" borderId="15" xfId="0" applyFont="1" applyFill="1" applyBorder="1" applyAlignment="1" applyProtection="1">
      <alignment horizontal="center" shrinkToFit="1"/>
      <protection hidden="1"/>
    </xf>
    <xf numFmtId="0" fontId="82" fillId="6" borderId="107" xfId="0" applyFont="1" applyFill="1" applyBorder="1" applyAlignment="1" applyProtection="1">
      <alignment horizontal="center" shrinkToFit="1"/>
      <protection hidden="1"/>
    </xf>
    <xf numFmtId="0" fontId="32" fillId="0" borderId="30" xfId="0" applyFont="1" applyBorder="1" applyAlignment="1" applyProtection="1">
      <alignment horizontal="center" vertical="center" shrinkToFit="1"/>
      <protection hidden="1"/>
    </xf>
    <xf numFmtId="0" fontId="0" fillId="26" borderId="123" xfId="0" applyFill="1" applyBorder="1" applyAlignment="1" applyProtection="1">
      <alignment horizontal="center" vertical="center"/>
      <protection hidden="1"/>
    </xf>
    <xf numFmtId="0" fontId="81" fillId="0" borderId="28" xfId="0" applyFont="1" applyBorder="1" applyAlignment="1" applyProtection="1">
      <alignment horizontal="center" vertical="center" shrinkToFit="1"/>
      <protection hidden="1"/>
    </xf>
    <xf numFmtId="0" fontId="81" fillId="0" borderId="15" xfId="0" applyFont="1" applyBorder="1" applyAlignment="1" applyProtection="1">
      <alignment horizontal="center" vertical="center" shrinkToFit="1"/>
      <protection hidden="1"/>
    </xf>
    <xf numFmtId="164" fontId="8" fillId="3" borderId="15" xfId="0" applyNumberFormat="1" applyFont="1" applyFill="1" applyBorder="1" applyAlignment="1" applyProtection="1">
      <alignment horizontal="center" vertical="center" shrinkToFit="1"/>
      <protection hidden="1"/>
    </xf>
    <xf numFmtId="164" fontId="8" fillId="3" borderId="107" xfId="0" applyNumberFormat="1" applyFont="1" applyFill="1" applyBorder="1" applyAlignment="1" applyProtection="1">
      <alignment horizontal="center" vertical="center" shrinkToFit="1"/>
      <protection hidden="1"/>
    </xf>
    <xf numFmtId="0" fontId="81" fillId="0" borderId="0" xfId="0" applyFont="1" applyAlignment="1" applyProtection="1">
      <alignment horizontal="center" vertical="center" shrinkToFit="1"/>
      <protection hidden="1"/>
    </xf>
    <xf numFmtId="0" fontId="81" fillId="0" borderId="107" xfId="0" applyFont="1" applyBorder="1" applyAlignment="1" applyProtection="1">
      <alignment horizontal="center" vertical="center" shrinkToFit="1"/>
      <protection hidden="1"/>
    </xf>
    <xf numFmtId="0" fontId="81" fillId="0" borderId="104" xfId="0" applyFont="1" applyBorder="1" applyAlignment="1" applyProtection="1">
      <alignment horizontal="center" vertical="center" shrinkToFit="1"/>
      <protection hidden="1"/>
    </xf>
    <xf numFmtId="0" fontId="81" fillId="0" borderId="76" xfId="0" applyFont="1" applyBorder="1" applyAlignment="1" applyProtection="1">
      <alignment horizontal="center" vertical="center" shrinkToFit="1"/>
      <protection hidden="1"/>
    </xf>
    <xf numFmtId="164" fontId="81" fillId="3" borderId="14" xfId="0" applyNumberFormat="1" applyFont="1" applyFill="1" applyBorder="1" applyAlignment="1" applyProtection="1">
      <alignment horizontal="right" vertical="center" shrinkToFit="1"/>
      <protection hidden="1"/>
    </xf>
    <xf numFmtId="164" fontId="81" fillId="3" borderId="73" xfId="0" applyNumberFormat="1" applyFont="1" applyFill="1" applyBorder="1" applyAlignment="1" applyProtection="1">
      <alignment horizontal="right" vertical="center" shrinkToFit="1"/>
      <protection hidden="1"/>
    </xf>
    <xf numFmtId="0" fontId="81" fillId="0" borderId="32" xfId="0" applyFont="1" applyBorder="1" applyAlignment="1" applyProtection="1">
      <alignment horizontal="center" vertical="center" shrinkToFit="1"/>
      <protection hidden="1"/>
    </xf>
    <xf numFmtId="0" fontId="81" fillId="0" borderId="14" xfId="0" applyFont="1" applyBorder="1" applyAlignment="1" applyProtection="1">
      <alignment horizontal="center" vertical="center" shrinkToFit="1"/>
      <protection hidden="1"/>
    </xf>
    <xf numFmtId="0" fontId="82" fillId="6" borderId="13" xfId="0" applyFont="1" applyFill="1" applyBorder="1" applyAlignment="1" applyProtection="1">
      <alignment horizontal="center" vertical="center" shrinkToFit="1"/>
      <protection hidden="1"/>
    </xf>
    <xf numFmtId="0" fontId="82" fillId="6" borderId="103" xfId="0" applyFont="1" applyFill="1" applyBorder="1" applyAlignment="1" applyProtection="1">
      <alignment horizontal="center" vertical="center" shrinkToFit="1"/>
      <protection hidden="1"/>
    </xf>
    <xf numFmtId="0" fontId="80" fillId="3" borderId="14" xfId="0" applyFont="1" applyFill="1" applyBorder="1" applyAlignment="1" applyProtection="1">
      <alignment horizontal="right" vertical="center" shrinkToFit="1"/>
      <protection hidden="1"/>
    </xf>
    <xf numFmtId="0" fontId="80" fillId="3" borderId="73" xfId="0" applyFont="1" applyFill="1" applyBorder="1" applyAlignment="1" applyProtection="1">
      <alignment horizontal="right" vertical="center" shrinkToFit="1"/>
      <protection hidden="1"/>
    </xf>
    <xf numFmtId="164" fontId="81" fillId="3" borderId="14" xfId="0" applyNumberFormat="1" applyFont="1" applyFill="1" applyBorder="1" applyAlignment="1" applyProtection="1">
      <alignment horizontal="right" shrinkToFit="1"/>
      <protection hidden="1"/>
    </xf>
    <xf numFmtId="164" fontId="81" fillId="3" borderId="73" xfId="0" applyNumberFormat="1" applyFont="1" applyFill="1" applyBorder="1" applyAlignment="1" applyProtection="1">
      <alignment horizontal="right" shrinkToFit="1"/>
      <protection hidden="1"/>
    </xf>
    <xf numFmtId="164" fontId="80" fillId="23" borderId="15" xfId="0" applyNumberFormat="1" applyFont="1" applyFill="1" applyBorder="1" applyAlignment="1" applyProtection="1">
      <alignment horizontal="center" vertical="center" shrinkToFit="1"/>
      <protection hidden="1"/>
    </xf>
    <xf numFmtId="165" fontId="81" fillId="3" borderId="14" xfId="0" applyNumberFormat="1" applyFont="1" applyFill="1" applyBorder="1" applyAlignment="1" applyProtection="1">
      <alignment horizontal="center" vertical="center" shrinkToFit="1"/>
      <protection hidden="1"/>
    </xf>
    <xf numFmtId="0" fontId="82" fillId="6" borderId="1" xfId="0" applyFont="1" applyFill="1" applyBorder="1" applyAlignment="1" applyProtection="1">
      <alignment horizontal="center" vertical="center" shrinkToFit="1"/>
      <protection hidden="1"/>
    </xf>
    <xf numFmtId="0" fontId="81" fillId="3" borderId="14" xfId="0" applyFont="1" applyFill="1" applyBorder="1" applyAlignment="1" applyProtection="1">
      <alignment horizontal="center" vertical="center" shrinkToFit="1"/>
      <protection hidden="1"/>
    </xf>
    <xf numFmtId="0" fontId="82" fillId="6" borderId="76" xfId="0" applyFont="1" applyFill="1" applyBorder="1" applyAlignment="1" applyProtection="1">
      <alignment horizontal="center" vertical="center" shrinkToFit="1"/>
      <protection hidden="1"/>
    </xf>
    <xf numFmtId="0" fontId="0" fillId="26" borderId="122" xfId="0" applyFill="1" applyBorder="1" applyAlignment="1" applyProtection="1">
      <alignment horizontal="right" vertical="center" wrapText="1"/>
      <protection hidden="1"/>
    </xf>
    <xf numFmtId="0" fontId="0" fillId="26" borderId="123" xfId="0" applyFill="1" applyBorder="1" applyAlignment="1" applyProtection="1">
      <alignment horizontal="right" vertical="center" wrapText="1"/>
      <protection hidden="1"/>
    </xf>
    <xf numFmtId="0" fontId="0" fillId="26" borderId="124" xfId="0" applyFill="1" applyBorder="1" applyAlignment="1" applyProtection="1">
      <alignment horizontal="right" vertical="center" wrapText="1"/>
      <protection hidden="1"/>
    </xf>
    <xf numFmtId="0" fontId="0" fillId="26" borderId="125" xfId="0" applyFill="1" applyBorder="1" applyAlignment="1" applyProtection="1">
      <alignment horizontal="right" vertical="center" wrapText="1"/>
      <protection hidden="1"/>
    </xf>
    <xf numFmtId="0" fontId="0" fillId="26" borderId="126" xfId="0" applyFill="1" applyBorder="1" applyAlignment="1" applyProtection="1">
      <alignment horizontal="right" vertical="center" wrapText="1"/>
      <protection hidden="1"/>
    </xf>
    <xf numFmtId="0" fontId="0" fillId="26" borderId="127" xfId="0" applyFill="1" applyBorder="1" applyAlignment="1" applyProtection="1">
      <alignment horizontal="right" vertical="center" wrapText="1"/>
      <protection hidden="1"/>
    </xf>
    <xf numFmtId="0" fontId="80" fillId="0" borderId="15" xfId="0" applyFont="1" applyBorder="1" applyAlignment="1" applyProtection="1">
      <alignment horizontal="right" vertical="center" shrinkToFit="1"/>
      <protection hidden="1"/>
    </xf>
    <xf numFmtId="49" fontId="81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81" fillId="3" borderId="15" xfId="0" applyFont="1" applyFill="1" applyBorder="1" applyAlignment="1" applyProtection="1">
      <alignment horizontal="center" vertical="center" shrinkToFit="1"/>
      <protection hidden="1"/>
    </xf>
    <xf numFmtId="0" fontId="8" fillId="3" borderId="15" xfId="0" applyFont="1" applyFill="1" applyBorder="1" applyAlignment="1" applyProtection="1">
      <alignment horizontal="center" vertical="center" shrinkToFit="1"/>
      <protection hidden="1"/>
    </xf>
    <xf numFmtId="0" fontId="8" fillId="3" borderId="121" xfId="0" applyFont="1" applyFill="1" applyBorder="1" applyAlignment="1" applyProtection="1">
      <alignment horizontal="center" vertical="center" shrinkToFit="1"/>
      <protection hidden="1"/>
    </xf>
    <xf numFmtId="0" fontId="80" fillId="0" borderId="118" xfId="0" applyFont="1" applyBorder="1" applyAlignment="1" applyProtection="1">
      <alignment horizontal="right" vertical="center" shrinkToFit="1"/>
      <protection hidden="1"/>
    </xf>
    <xf numFmtId="0" fontId="80" fillId="0" borderId="14" xfId="0" applyFont="1" applyBorder="1" applyAlignment="1" applyProtection="1">
      <alignment horizontal="right" vertical="center" shrinkToFit="1"/>
      <protection hidden="1"/>
    </xf>
    <xf numFmtId="0" fontId="81" fillId="3" borderId="119" xfId="0" applyFont="1" applyFill="1" applyBorder="1" applyAlignment="1" applyProtection="1">
      <alignment horizontal="center" vertical="center" shrinkToFit="1"/>
      <protection hidden="1"/>
    </xf>
    <xf numFmtId="49" fontId="8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22" fontId="45" fillId="0" borderId="70" xfId="0" applyNumberFormat="1" applyFont="1" applyBorder="1" applyAlignment="1" applyProtection="1">
      <alignment horizontal="center" vertical="center" shrinkToFit="1" readingOrder="2"/>
      <protection hidden="1"/>
    </xf>
    <xf numFmtId="0" fontId="1" fillId="0" borderId="117" xfId="0" applyFont="1" applyBorder="1" applyAlignment="1" applyProtection="1">
      <alignment horizontal="right" vertical="center" shrinkToFit="1"/>
      <protection hidden="1"/>
    </xf>
    <xf numFmtId="0" fontId="1" fillId="0" borderId="16" xfId="0" applyFont="1" applyBorder="1" applyAlignment="1" applyProtection="1">
      <alignment horizontal="right" vertical="center" shrinkToFit="1"/>
      <protection hidden="1"/>
    </xf>
    <xf numFmtId="0" fontId="79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80" fillId="3" borderId="16" xfId="0" applyFont="1" applyFill="1" applyBorder="1" applyAlignment="1" applyProtection="1">
      <alignment horizontal="center" vertical="center" shrinkToFit="1"/>
      <protection hidden="1"/>
    </xf>
    <xf numFmtId="0" fontId="1" fillId="3" borderId="16" xfId="0" applyFont="1" applyFill="1" applyBorder="1" applyAlignment="1" applyProtection="1">
      <alignment horizontal="center" vertical="center" shrinkToFit="1"/>
      <protection hidden="1"/>
    </xf>
    <xf numFmtId="0" fontId="1" fillId="3" borderId="105" xfId="0" applyFont="1" applyFill="1" applyBorder="1" applyAlignment="1" applyProtection="1">
      <alignment horizontal="center" vertical="center" shrinkToFit="1"/>
      <protection hidden="1"/>
    </xf>
    <xf numFmtId="0" fontId="80" fillId="0" borderId="14" xfId="0" applyFont="1" applyBorder="1" applyAlignment="1" applyProtection="1">
      <alignment horizontal="left" vertical="center" shrinkToFit="1"/>
      <protection hidden="1"/>
    </xf>
    <xf numFmtId="0" fontId="1" fillId="0" borderId="118" xfId="0" applyFont="1" applyBorder="1" applyAlignment="1" applyProtection="1">
      <alignment horizontal="right" vertical="center" shrinkToFit="1"/>
      <protection hidden="1"/>
    </xf>
    <xf numFmtId="0" fontId="1" fillId="3" borderId="14" xfId="0" applyFont="1" applyFill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left" vertical="center" shrinkToFit="1"/>
      <protection hidden="1"/>
    </xf>
    <xf numFmtId="0" fontId="1" fillId="0" borderId="119" xfId="0" applyFont="1" applyBorder="1" applyAlignment="1" applyProtection="1">
      <alignment horizontal="left" vertical="center" shrinkToFit="1"/>
      <protection hidden="1"/>
    </xf>
    <xf numFmtId="0" fontId="48" fillId="0" borderId="70" xfId="0" applyFont="1" applyBorder="1" applyAlignment="1" applyProtection="1">
      <alignment horizontal="right" vertical="center" shrinkToFit="1" readingOrder="2"/>
      <protection hidden="1"/>
    </xf>
    <xf numFmtId="0" fontId="80" fillId="3" borderId="14" xfId="0" applyFont="1" applyFill="1" applyBorder="1" applyAlignment="1" applyProtection="1">
      <alignment horizontal="center" vertical="center" shrinkToFit="1"/>
      <protection hidden="1"/>
    </xf>
    <xf numFmtId="0" fontId="8" fillId="0" borderId="32" xfId="0" applyFont="1" applyBorder="1" applyAlignment="1" applyProtection="1">
      <alignment horizontal="center" vertical="center" shrinkToFit="1"/>
      <protection hidden="1"/>
    </xf>
    <xf numFmtId="0" fontId="80" fillId="0" borderId="119" xfId="0" applyFont="1" applyBorder="1" applyAlignment="1" applyProtection="1">
      <alignment horizontal="left" vertical="center" shrinkToFit="1"/>
      <protection hidden="1"/>
    </xf>
    <xf numFmtId="0" fontId="80" fillId="0" borderId="120" xfId="0" applyFont="1" applyBorder="1" applyAlignment="1" applyProtection="1">
      <alignment horizontal="right" vertical="center" shrinkToFit="1"/>
      <protection hidden="1"/>
    </xf>
    <xf numFmtId="0" fontId="28" fillId="16" borderId="6" xfId="0" applyFont="1" applyFill="1" applyBorder="1" applyAlignment="1" applyProtection="1">
      <alignment horizontal="right" vertical="top" wrapText="1"/>
      <protection hidden="1"/>
    </xf>
    <xf numFmtId="0" fontId="28" fillId="16" borderId="6" xfId="0" applyFont="1" applyFill="1" applyBorder="1" applyAlignment="1" applyProtection="1">
      <alignment horizontal="right" vertical="top"/>
      <protection hidden="1"/>
    </xf>
    <xf numFmtId="0" fontId="28" fillId="16" borderId="0" xfId="0" applyFont="1" applyFill="1" applyAlignment="1" applyProtection="1">
      <alignment horizontal="right" vertical="top"/>
      <protection hidden="1"/>
    </xf>
    <xf numFmtId="0" fontId="29" fillId="0" borderId="132" xfId="0" applyFont="1" applyBorder="1" applyAlignment="1">
      <alignment horizontal="center" vertical="center"/>
    </xf>
    <xf numFmtId="0" fontId="29" fillId="0" borderId="133" xfId="0" applyFont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 textRotation="90" wrapText="1"/>
      <protection hidden="1"/>
    </xf>
    <xf numFmtId="0" fontId="84" fillId="24" borderId="116" xfId="0" applyFont="1" applyFill="1" applyBorder="1" applyAlignment="1">
      <alignment horizontal="center" vertical="center"/>
    </xf>
    <xf numFmtId="0" fontId="84" fillId="24" borderId="0" xfId="0" applyFont="1" applyFill="1" applyBorder="1" applyAlignment="1">
      <alignment horizontal="center" vertical="center"/>
    </xf>
    <xf numFmtId="0" fontId="1" fillId="3" borderId="148" xfId="0" applyFont="1" applyFill="1" applyBorder="1" applyAlignment="1" applyProtection="1">
      <alignment horizontal="center" vertical="center" textRotation="90" wrapText="1"/>
      <protection hidden="1"/>
    </xf>
    <xf numFmtId="0" fontId="1" fillId="3" borderId="149" xfId="0" applyFont="1" applyFill="1" applyBorder="1" applyAlignment="1" applyProtection="1">
      <alignment horizontal="center" vertical="center" textRotation="90" wrapText="1"/>
      <protection hidden="1"/>
    </xf>
    <xf numFmtId="0" fontId="1" fillId="3" borderId="144" xfId="0" applyFont="1" applyFill="1" applyBorder="1" applyAlignment="1" applyProtection="1">
      <alignment horizontal="center" vertical="center" textRotation="90" wrapText="1"/>
      <protection hidden="1"/>
    </xf>
    <xf numFmtId="0" fontId="1" fillId="3" borderId="147" xfId="0" applyFont="1" applyFill="1" applyBorder="1" applyAlignment="1" applyProtection="1">
      <alignment horizontal="center" vertical="center" textRotation="90" wrapText="1"/>
      <protection hidden="1"/>
    </xf>
    <xf numFmtId="0" fontId="41" fillId="24" borderId="137" xfId="0" applyFont="1" applyFill="1" applyBorder="1" applyAlignment="1">
      <alignment horizontal="center" vertical="center" wrapText="1"/>
    </xf>
    <xf numFmtId="0" fontId="41" fillId="24" borderId="132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24" borderId="133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textRotation="90" wrapText="1"/>
      <protection hidden="1"/>
    </xf>
    <xf numFmtId="0" fontId="1" fillId="3" borderId="40" xfId="0" applyFont="1" applyFill="1" applyBorder="1" applyAlignment="1" applyProtection="1">
      <alignment horizontal="center" vertical="center" textRotation="90" wrapText="1"/>
      <protection hidden="1"/>
    </xf>
    <xf numFmtId="0" fontId="1" fillId="3" borderId="39" xfId="0" applyFont="1" applyFill="1" applyBorder="1" applyAlignment="1" applyProtection="1">
      <alignment horizontal="center" vertical="center" textRotation="90" wrapText="1"/>
      <protection hidden="1"/>
    </xf>
    <xf numFmtId="0" fontId="1" fillId="3" borderId="142" xfId="0" applyFont="1" applyFill="1" applyBorder="1" applyAlignment="1" applyProtection="1">
      <alignment horizontal="center" vertical="center" textRotation="90" wrapText="1"/>
      <protection hidden="1"/>
    </xf>
    <xf numFmtId="0" fontId="1" fillId="3" borderId="143" xfId="0" applyFont="1" applyFill="1" applyBorder="1" applyAlignment="1" applyProtection="1">
      <alignment horizontal="center" vertical="center" textRotation="90" wrapText="1"/>
      <protection hidden="1"/>
    </xf>
    <xf numFmtId="0" fontId="1" fillId="3" borderId="145" xfId="0" applyFont="1" applyFill="1" applyBorder="1" applyAlignment="1" applyProtection="1">
      <alignment horizontal="center" vertical="center" textRotation="90" wrapText="1"/>
      <protection hidden="1"/>
    </xf>
    <xf numFmtId="0" fontId="1" fillId="3" borderId="146" xfId="0" applyFont="1" applyFill="1" applyBorder="1" applyAlignment="1" applyProtection="1">
      <alignment horizontal="center" vertical="center" textRotation="90" wrapText="1"/>
      <protection hidden="1"/>
    </xf>
    <xf numFmtId="0" fontId="40" fillId="4" borderId="67" xfId="0" applyFont="1" applyFill="1" applyBorder="1" applyAlignment="1" applyProtection="1">
      <alignment horizontal="center" vertical="center"/>
      <protection hidden="1"/>
    </xf>
    <xf numFmtId="0" fontId="40" fillId="4" borderId="68" xfId="0" applyFont="1" applyFill="1" applyBorder="1" applyAlignment="1" applyProtection="1">
      <alignment horizontal="center" vertical="center"/>
      <protection hidden="1"/>
    </xf>
    <xf numFmtId="0" fontId="40" fillId="4" borderId="69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29" fillId="19" borderId="45" xfId="0" applyFont="1" applyFill="1" applyBorder="1" applyAlignment="1" applyProtection="1">
      <alignment horizontal="center" vertical="center"/>
      <protection hidden="1"/>
    </xf>
    <xf numFmtId="0" fontId="29" fillId="19" borderId="50" xfId="0" applyFont="1" applyFill="1" applyBorder="1" applyAlignment="1" applyProtection="1">
      <alignment horizontal="center" vertical="center"/>
      <protection hidden="1"/>
    </xf>
    <xf numFmtId="0" fontId="40" fillId="4" borderId="58" xfId="0" applyFont="1" applyFill="1" applyBorder="1" applyAlignment="1" applyProtection="1">
      <alignment horizontal="center" vertical="center"/>
      <protection hidden="1"/>
    </xf>
    <xf numFmtId="0" fontId="40" fillId="4" borderId="61" xfId="0" applyFont="1" applyFill="1" applyBorder="1" applyAlignment="1" applyProtection="1">
      <alignment horizontal="center" vertical="center"/>
      <protection hidden="1"/>
    </xf>
    <xf numFmtId="0" fontId="40" fillId="4" borderId="59" xfId="0" applyFont="1" applyFill="1" applyBorder="1" applyAlignment="1" applyProtection="1">
      <alignment horizontal="center" vertical="center"/>
      <protection hidden="1"/>
    </xf>
    <xf numFmtId="0" fontId="40" fillId="4" borderId="62" xfId="0" applyFont="1" applyFill="1" applyBorder="1" applyAlignment="1" applyProtection="1">
      <alignment horizontal="center" vertical="center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1" fillId="3" borderId="141" xfId="0" applyFont="1" applyFill="1" applyBorder="1" applyAlignment="1" applyProtection="1">
      <alignment horizontal="center" vertical="center" textRotation="90" wrapText="1"/>
      <protection hidden="1"/>
    </xf>
    <xf numFmtId="0" fontId="29" fillId="19" borderId="51" xfId="0" applyFont="1" applyFill="1" applyBorder="1" applyAlignment="1" applyProtection="1">
      <alignment horizontal="center" vertical="center"/>
      <protection hidden="1"/>
    </xf>
    <xf numFmtId="0" fontId="29" fillId="19" borderId="52" xfId="0" applyFont="1" applyFill="1" applyBorder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 textRotation="90" wrapText="1"/>
      <protection hidden="1"/>
    </xf>
    <xf numFmtId="0" fontId="29" fillId="17" borderId="0" xfId="0" applyFont="1" applyFill="1" applyAlignment="1" applyProtection="1">
      <alignment horizontal="center" vertical="center"/>
      <protection hidden="1"/>
    </xf>
    <xf numFmtId="0" fontId="29" fillId="17" borderId="39" xfId="0" applyFont="1" applyFill="1" applyBorder="1" applyAlignment="1" applyProtection="1">
      <alignment horizontal="center" vertical="center"/>
      <protection hidden="1"/>
    </xf>
    <xf numFmtId="0" fontId="38" fillId="4" borderId="0" xfId="0" applyFont="1" applyFill="1" applyAlignment="1" applyProtection="1">
      <alignment horizontal="center" vertical="center"/>
      <protection locked="0"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10" fillId="10" borderId="0" xfId="1" applyFont="1" applyFill="1" applyAlignment="1" applyProtection="1">
      <alignment horizontal="center" vertical="center"/>
      <protection hidden="1"/>
    </xf>
    <xf numFmtId="0" fontId="34" fillId="18" borderId="0" xfId="0" applyFont="1" applyFill="1" applyBorder="1" applyAlignment="1" applyProtection="1">
      <alignment horizontal="center" vertical="center"/>
      <protection hidden="1"/>
    </xf>
    <xf numFmtId="0" fontId="34" fillId="18" borderId="41" xfId="0" applyFont="1" applyFill="1" applyBorder="1" applyAlignment="1" applyProtection="1">
      <alignment horizontal="center" vertical="center"/>
      <protection hidden="1"/>
    </xf>
    <xf numFmtId="0" fontId="1" fillId="3" borderId="139" xfId="0" applyFont="1" applyFill="1" applyBorder="1" applyAlignment="1" applyProtection="1">
      <alignment horizontal="center" vertical="center" textRotation="90" wrapText="1"/>
      <protection hidden="1"/>
    </xf>
    <xf numFmtId="0" fontId="1" fillId="3" borderId="140" xfId="0" applyFont="1" applyFill="1" applyBorder="1" applyAlignment="1" applyProtection="1">
      <alignment horizontal="center" vertical="center" textRotation="90" wrapText="1"/>
      <protection hidden="1"/>
    </xf>
    <xf numFmtId="0" fontId="40" fillId="4" borderId="57" xfId="0" applyFont="1" applyFill="1" applyBorder="1" applyAlignment="1" applyProtection="1">
      <alignment horizontal="center" vertical="center"/>
      <protection hidden="1"/>
    </xf>
    <xf numFmtId="0" fontId="40" fillId="4" borderId="60" xfId="0" applyFont="1" applyFill="1" applyBorder="1" applyAlignment="1" applyProtection="1">
      <alignment horizontal="center" vertical="center"/>
      <protection hidden="1"/>
    </xf>
    <xf numFmtId="0" fontId="1" fillId="3" borderId="116" xfId="0" applyFont="1" applyFill="1" applyBorder="1" applyAlignment="1" applyProtection="1">
      <alignment horizontal="center" vertical="center" textRotation="90" wrapText="1"/>
      <protection hidden="1"/>
    </xf>
    <xf numFmtId="0" fontId="41" fillId="24" borderId="138" xfId="0" applyFont="1" applyFill="1" applyBorder="1" applyAlignment="1">
      <alignment horizontal="center" vertical="center" wrapText="1"/>
    </xf>
    <xf numFmtId="0" fontId="41" fillId="24" borderId="134" xfId="0" applyFont="1" applyFill="1" applyBorder="1" applyAlignment="1">
      <alignment horizontal="center" vertical="center" wrapText="1"/>
    </xf>
    <xf numFmtId="0" fontId="65" fillId="24" borderId="26" xfId="0" applyFont="1" applyFill="1" applyBorder="1" applyAlignment="1">
      <alignment horizontal="center" vertical="center"/>
    </xf>
    <xf numFmtId="0" fontId="65" fillId="24" borderId="24" xfId="0" applyFont="1" applyFill="1" applyBorder="1" applyAlignment="1">
      <alignment horizontal="center" vertical="center" textRotation="90" wrapText="1"/>
    </xf>
    <xf numFmtId="0" fontId="65" fillId="24" borderId="133" xfId="0" applyFont="1" applyFill="1" applyBorder="1" applyAlignment="1">
      <alignment horizontal="center" vertical="center" textRotation="90" wrapText="1"/>
    </xf>
    <xf numFmtId="0" fontId="65" fillId="24" borderId="138" xfId="0" applyFont="1" applyFill="1" applyBorder="1" applyAlignment="1">
      <alignment horizontal="center" vertical="center" textRotation="90" wrapText="1"/>
    </xf>
    <xf numFmtId="0" fontId="65" fillId="24" borderId="134" xfId="0" applyFont="1" applyFill="1" applyBorder="1" applyAlignment="1">
      <alignment horizontal="center" vertical="center" textRotation="90" wrapText="1"/>
    </xf>
    <xf numFmtId="0" fontId="84" fillId="24" borderId="137" xfId="0" applyFont="1" applyFill="1" applyBorder="1" applyAlignment="1">
      <alignment horizontal="center" vertical="center"/>
    </xf>
    <xf numFmtId="0" fontId="84" fillId="24" borderId="132" xfId="0" applyFont="1" applyFill="1" applyBorder="1" applyAlignment="1">
      <alignment horizontal="center" vertical="center"/>
    </xf>
    <xf numFmtId="0" fontId="84" fillId="24" borderId="24" xfId="0" applyFont="1" applyFill="1" applyBorder="1" applyAlignment="1">
      <alignment horizontal="center" vertical="center"/>
    </xf>
    <xf numFmtId="0" fontId="84" fillId="24" borderId="133" xfId="0" applyFont="1" applyFill="1" applyBorder="1" applyAlignment="1">
      <alignment horizontal="center" vertical="center"/>
    </xf>
    <xf numFmtId="0" fontId="84" fillId="24" borderId="138" xfId="0" applyFont="1" applyFill="1" applyBorder="1" applyAlignment="1">
      <alignment horizontal="center" vertical="center"/>
    </xf>
    <xf numFmtId="0" fontId="84" fillId="24" borderId="134" xfId="0" applyFont="1" applyFill="1" applyBorder="1" applyAlignment="1">
      <alignment horizontal="center" vertical="center"/>
    </xf>
    <xf numFmtId="0" fontId="65" fillId="24" borderId="26" xfId="0" applyFont="1" applyFill="1" applyBorder="1" applyAlignment="1">
      <alignment horizontal="center" vertical="center" wrapText="1"/>
    </xf>
    <xf numFmtId="0" fontId="41" fillId="24" borderId="26" xfId="0" applyFont="1" applyFill="1" applyBorder="1" applyAlignment="1">
      <alignment horizontal="center" vertical="center"/>
    </xf>
    <xf numFmtId="0" fontId="65" fillId="24" borderId="137" xfId="0" applyFont="1" applyFill="1" applyBorder="1" applyAlignment="1">
      <alignment horizontal="center" vertical="center" textRotation="90"/>
    </xf>
    <xf numFmtId="0" fontId="65" fillId="24" borderId="132" xfId="0" applyFont="1" applyFill="1" applyBorder="1" applyAlignment="1">
      <alignment horizontal="center" vertical="center" textRotation="90"/>
    </xf>
    <xf numFmtId="0" fontId="41" fillId="24" borderId="138" xfId="0" applyFont="1" applyFill="1" applyBorder="1" applyAlignment="1" applyProtection="1">
      <alignment horizontal="center" vertical="center" wrapText="1"/>
      <protection hidden="1"/>
    </xf>
    <xf numFmtId="0" fontId="41" fillId="24" borderId="134" xfId="0" applyFont="1" applyFill="1" applyBorder="1" applyAlignment="1" applyProtection="1">
      <alignment horizontal="center" vertical="center" wrapText="1"/>
      <protection hidden="1"/>
    </xf>
    <xf numFmtId="0" fontId="41" fillId="24" borderId="135" xfId="0" applyFont="1" applyFill="1" applyBorder="1" applyAlignment="1" applyProtection="1">
      <alignment horizontal="center" vertical="center" wrapText="1"/>
      <protection hidden="1"/>
    </xf>
    <xf numFmtId="0" fontId="29" fillId="0" borderId="129" xfId="0" applyFont="1" applyBorder="1" applyAlignment="1">
      <alignment horizontal="center" vertical="center"/>
    </xf>
    <xf numFmtId="0" fontId="29" fillId="0" borderId="130" xfId="0" applyFont="1" applyBorder="1" applyAlignment="1">
      <alignment horizontal="center" vertical="center"/>
    </xf>
    <xf numFmtId="0" fontId="29" fillId="0" borderId="131" xfId="0" applyFont="1" applyBorder="1" applyAlignment="1">
      <alignment horizontal="center" vertical="center"/>
    </xf>
    <xf numFmtId="0" fontId="29" fillId="0" borderId="131" xfId="0" applyFont="1" applyBorder="1" applyAlignment="1" applyProtection="1">
      <alignment horizontal="center" vertical="center"/>
      <protection hidden="1"/>
    </xf>
    <xf numFmtId="0" fontId="29" fillId="0" borderId="136" xfId="0" applyFont="1" applyBorder="1" applyAlignment="1" applyProtection="1">
      <alignment horizontal="center" vertical="center"/>
      <protection hidden="1"/>
    </xf>
    <xf numFmtId="0" fontId="29" fillId="0" borderId="132" xfId="0" applyFont="1" applyBorder="1" applyAlignment="1" applyProtection="1">
      <alignment horizontal="center" vertical="center"/>
      <protection hidden="1"/>
    </xf>
    <xf numFmtId="0" fontId="29" fillId="0" borderId="133" xfId="0" applyFont="1" applyBorder="1" applyAlignment="1" applyProtection="1">
      <alignment horizontal="center" vertical="center"/>
      <protection hidden="1"/>
    </xf>
    <xf numFmtId="0" fontId="29" fillId="0" borderId="135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center" vertical="center"/>
      <protection hidden="1"/>
    </xf>
  </cellXfs>
  <cellStyles count="6"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ارتباط تشعبي" xfId="1" builtinId="8"/>
    <cellStyle name="عادي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78ABED05-1333-4465-BECA-A59DB8BE1F60}"/>
            </a:ext>
          </a:extLst>
        </xdr:cNvPr>
        <xdr:cNvSpPr/>
      </xdr:nvSpPr>
      <xdr:spPr>
        <a:xfrm>
          <a:off x="1010161302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7</xdr:row>
      <xdr:rowOff>38100</xdr:rowOff>
    </xdr:from>
    <xdr:to>
      <xdr:col>33</xdr:col>
      <xdr:colOff>19050</xdr:colOff>
      <xdr:row>9</xdr:row>
      <xdr:rowOff>173439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8650" y="1428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23115</xdr:colOff>
      <xdr:row>7</xdr:row>
      <xdr:rowOff>38879</xdr:rowOff>
    </xdr:from>
    <xdr:to>
      <xdr:col>33</xdr:col>
      <xdr:colOff>23115</xdr:colOff>
      <xdr:row>9</xdr:row>
      <xdr:rowOff>168968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591454"/>
          <a:ext cx="0" cy="804375"/>
        </a:xfrm>
        <a:prstGeom prst="rect">
          <a:avLst/>
        </a:prstGeom>
      </xdr:spPr>
    </xdr:pic>
    <xdr:clientData/>
  </xdr:twoCellAnchor>
  <xdr:oneCellAnchor>
    <xdr:from>
      <xdr:col>33</xdr:col>
      <xdr:colOff>23115</xdr:colOff>
      <xdr:row>8</xdr:row>
      <xdr:rowOff>38879</xdr:rowOff>
    </xdr:from>
    <xdr:ext cx="0" cy="804375"/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886729"/>
          <a:ext cx="0" cy="80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83820</xdr:rowOff>
    </xdr:from>
    <xdr:to>
      <xdr:col>17</xdr:col>
      <xdr:colOff>44767</xdr:colOff>
      <xdr:row>42</xdr:row>
      <xdr:rowOff>152450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055C442-4EC3-4372-9DE2-E5015E0CC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2817933" y="9227820"/>
          <a:ext cx="6590347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C: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1:V20"/>
  <sheetViews>
    <sheetView rightToLeft="1" workbookViewId="0">
      <selection activeCell="W11" sqref="W11"/>
    </sheetView>
  </sheetViews>
  <sheetFormatPr defaultColWidth="9" defaultRowHeight="16.8" x14ac:dyDescent="0.5"/>
  <cols>
    <col min="1" max="1" width="2.21875" style="90" customWidth="1"/>
    <col min="2" max="2" width="4.44140625" style="90" customWidth="1"/>
    <col min="3" max="6" width="9" style="90"/>
    <col min="7" max="7" width="1.44140625" style="90" customWidth="1"/>
    <col min="8" max="8" width="12.77734375" style="90" customWidth="1"/>
    <col min="9" max="9" width="16.88671875" style="90" customWidth="1"/>
    <col min="10" max="10" width="5" style="90" customWidth="1"/>
    <col min="11" max="11" width="9" style="90"/>
    <col min="12" max="12" width="2.77734375" style="90" customWidth="1"/>
    <col min="13" max="14" width="9" style="90"/>
    <col min="15" max="15" width="3.44140625" style="90" customWidth="1"/>
    <col min="16" max="17" width="9" style="90"/>
    <col min="18" max="18" width="4.77734375" style="90" customWidth="1"/>
    <col min="19" max="19" width="2" style="90" customWidth="1"/>
    <col min="20" max="20" width="8.88671875" style="90" customWidth="1"/>
    <col min="21" max="21" width="15.44140625" style="90" customWidth="1"/>
    <col min="22" max="16384" width="9" style="90"/>
  </cols>
  <sheetData>
    <row r="1" spans="1:22" ht="27" thickBot="1" x14ac:dyDescent="0.75">
      <c r="B1" s="296" t="s">
        <v>193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</row>
    <row r="2" spans="1:22" ht="19.5" customHeight="1" thickBot="1" x14ac:dyDescent="0.7">
      <c r="B2" s="297" t="s">
        <v>58</v>
      </c>
      <c r="C2" s="297"/>
      <c r="D2" s="297"/>
      <c r="E2" s="297"/>
      <c r="F2" s="297"/>
      <c r="G2" s="297"/>
      <c r="H2" s="297"/>
      <c r="I2" s="297"/>
      <c r="J2" s="91"/>
      <c r="K2" s="298" t="s">
        <v>181</v>
      </c>
      <c r="L2" s="299"/>
      <c r="M2" s="299"/>
      <c r="N2" s="299"/>
      <c r="O2" s="299"/>
      <c r="P2" s="299"/>
      <c r="Q2" s="299"/>
      <c r="R2" s="299"/>
      <c r="S2" s="299"/>
      <c r="T2" s="302" t="s">
        <v>192</v>
      </c>
      <c r="U2" s="303"/>
    </row>
    <row r="3" spans="1:22" ht="22.5" customHeight="1" thickBot="1" x14ac:dyDescent="0.7">
      <c r="A3" s="92">
        <v>1</v>
      </c>
      <c r="B3" s="306" t="s">
        <v>189</v>
      </c>
      <c r="C3" s="307"/>
      <c r="D3" s="307"/>
      <c r="E3" s="307"/>
      <c r="F3" s="307"/>
      <c r="G3" s="307"/>
      <c r="H3" s="307"/>
      <c r="I3" s="308"/>
      <c r="K3" s="300"/>
      <c r="L3" s="301"/>
      <c r="M3" s="301"/>
      <c r="N3" s="301"/>
      <c r="O3" s="301"/>
      <c r="P3" s="301"/>
      <c r="Q3" s="301"/>
      <c r="R3" s="301"/>
      <c r="S3" s="301"/>
      <c r="T3" s="304"/>
      <c r="U3" s="305"/>
    </row>
    <row r="4" spans="1:22" ht="22.5" customHeight="1" thickBot="1" x14ac:dyDescent="0.7">
      <c r="A4" s="92">
        <v>2</v>
      </c>
      <c r="B4" s="288" t="s">
        <v>190</v>
      </c>
      <c r="C4" s="289"/>
      <c r="D4" s="289"/>
      <c r="E4" s="289"/>
      <c r="F4" s="289"/>
      <c r="G4" s="289"/>
      <c r="H4" s="289"/>
      <c r="I4" s="290"/>
      <c r="K4" s="291" t="s">
        <v>15</v>
      </c>
      <c r="L4" s="292"/>
      <c r="M4" s="292"/>
      <c r="N4" s="292"/>
      <c r="O4" s="292"/>
      <c r="P4" s="292"/>
      <c r="Q4" s="292"/>
      <c r="R4" s="292"/>
      <c r="S4" s="293"/>
      <c r="T4" s="294">
        <v>1</v>
      </c>
      <c r="U4" s="295"/>
    </row>
    <row r="5" spans="1:22" ht="22.5" customHeight="1" x14ac:dyDescent="0.65">
      <c r="A5" s="92">
        <v>3</v>
      </c>
      <c r="B5" s="313" t="s">
        <v>313</v>
      </c>
      <c r="C5" s="314"/>
      <c r="D5" s="314"/>
      <c r="E5" s="314"/>
      <c r="F5" s="314"/>
      <c r="G5" s="314"/>
      <c r="H5" s="314"/>
      <c r="I5" s="315"/>
      <c r="K5" s="309" t="s">
        <v>182</v>
      </c>
      <c r="L5" s="310"/>
      <c r="M5" s="310"/>
      <c r="N5" s="310"/>
      <c r="O5" s="310"/>
      <c r="P5" s="310"/>
      <c r="Q5" s="310"/>
      <c r="R5" s="310"/>
      <c r="S5" s="310"/>
      <c r="T5" s="294">
        <v>1</v>
      </c>
      <c r="U5" s="295"/>
    </row>
    <row r="6" spans="1:22" ht="22.5" customHeight="1" thickBot="1" x14ac:dyDescent="0.7">
      <c r="A6" s="92"/>
      <c r="B6" s="316"/>
      <c r="C6" s="317"/>
      <c r="D6" s="317"/>
      <c r="E6" s="317"/>
      <c r="F6" s="317"/>
      <c r="G6" s="317"/>
      <c r="H6" s="317"/>
      <c r="I6" s="318"/>
      <c r="K6" s="309" t="s">
        <v>183</v>
      </c>
      <c r="L6" s="310"/>
      <c r="M6" s="310"/>
      <c r="N6" s="310"/>
      <c r="O6" s="310"/>
      <c r="P6" s="310"/>
      <c r="Q6" s="310"/>
      <c r="R6" s="310"/>
      <c r="S6" s="310"/>
      <c r="T6" s="311" t="s">
        <v>188</v>
      </c>
      <c r="U6" s="312"/>
    </row>
    <row r="7" spans="1:22" ht="22.5" customHeight="1" thickBot="1" x14ac:dyDescent="0.75">
      <c r="A7" s="92"/>
      <c r="B7" s="319" t="s">
        <v>60</v>
      </c>
      <c r="C7" s="320"/>
      <c r="D7" s="320"/>
      <c r="E7" s="320"/>
      <c r="F7" s="320"/>
      <c r="G7" s="320"/>
      <c r="H7" s="321" t="s">
        <v>59</v>
      </c>
      <c r="I7" s="322"/>
      <c r="K7" s="332" t="s">
        <v>184</v>
      </c>
      <c r="L7" s="333"/>
      <c r="M7" s="333"/>
      <c r="N7" s="333"/>
      <c r="O7" s="333"/>
      <c r="P7" s="333"/>
      <c r="Q7" s="333"/>
      <c r="R7" s="333"/>
      <c r="S7" s="334"/>
      <c r="T7" s="335">
        <v>0.5</v>
      </c>
      <c r="U7" s="336"/>
      <c r="V7" s="93"/>
    </row>
    <row r="8" spans="1:22" ht="22.5" customHeight="1" x14ac:dyDescent="0.65">
      <c r="A8" s="92"/>
      <c r="B8" s="330" t="s">
        <v>214</v>
      </c>
      <c r="C8" s="330"/>
      <c r="D8" s="330"/>
      <c r="E8" s="330"/>
      <c r="F8" s="330"/>
      <c r="G8" s="330"/>
      <c r="H8" s="330"/>
      <c r="I8" s="330"/>
      <c r="J8" s="93"/>
      <c r="K8" s="337" t="s">
        <v>185</v>
      </c>
      <c r="L8" s="338"/>
      <c r="M8" s="338"/>
      <c r="N8" s="338"/>
      <c r="O8" s="338"/>
      <c r="P8" s="338"/>
      <c r="Q8" s="338"/>
      <c r="R8" s="338"/>
      <c r="S8" s="338"/>
      <c r="T8" s="339">
        <v>0.2</v>
      </c>
      <c r="U8" s="340"/>
    </row>
    <row r="9" spans="1:22" ht="22.5" customHeight="1" x14ac:dyDescent="0.65">
      <c r="A9" s="92"/>
      <c r="B9" s="331"/>
      <c r="C9" s="331"/>
      <c r="D9" s="331"/>
      <c r="E9" s="331"/>
      <c r="F9" s="331"/>
      <c r="G9" s="331"/>
      <c r="H9" s="331"/>
      <c r="I9" s="331"/>
      <c r="J9" s="94"/>
      <c r="K9" s="337"/>
      <c r="L9" s="338"/>
      <c r="M9" s="338"/>
      <c r="N9" s="338"/>
      <c r="O9" s="338"/>
      <c r="P9" s="338"/>
      <c r="Q9" s="338"/>
      <c r="R9" s="338"/>
      <c r="S9" s="338"/>
      <c r="T9" s="341"/>
      <c r="U9" s="340"/>
    </row>
    <row r="10" spans="1:22" ht="22.5" customHeight="1" x14ac:dyDescent="0.65">
      <c r="A10" s="92">
        <v>4</v>
      </c>
      <c r="B10" s="331"/>
      <c r="C10" s="331"/>
      <c r="D10" s="331"/>
      <c r="E10" s="331"/>
      <c r="F10" s="331"/>
      <c r="G10" s="331"/>
      <c r="H10" s="331"/>
      <c r="I10" s="331"/>
      <c r="K10" s="291" t="s">
        <v>186</v>
      </c>
      <c r="L10" s="292"/>
      <c r="M10" s="292"/>
      <c r="N10" s="292"/>
      <c r="O10" s="292"/>
      <c r="P10" s="292"/>
      <c r="Q10" s="292"/>
      <c r="R10" s="292"/>
      <c r="S10" s="293"/>
      <c r="T10" s="323">
        <v>0.2</v>
      </c>
      <c r="U10" s="324"/>
    </row>
    <row r="11" spans="1:22" ht="44.25" customHeight="1" thickBot="1" x14ac:dyDescent="0.7">
      <c r="A11" s="92"/>
      <c r="B11" s="331"/>
      <c r="C11" s="331"/>
      <c r="D11" s="331"/>
      <c r="E11" s="331"/>
      <c r="F11" s="331"/>
      <c r="G11" s="331"/>
      <c r="H11" s="331"/>
      <c r="I11" s="331"/>
      <c r="K11" s="325" t="s">
        <v>196</v>
      </c>
      <c r="L11" s="326"/>
      <c r="M11" s="326"/>
      <c r="N11" s="326"/>
      <c r="O11" s="326"/>
      <c r="P11" s="326"/>
      <c r="Q11" s="326"/>
      <c r="R11" s="326"/>
      <c r="S11" s="327"/>
      <c r="T11" s="328">
        <v>0.2</v>
      </c>
      <c r="U11" s="329"/>
    </row>
    <row r="12" spans="1:22" ht="39.75" customHeight="1" thickBot="1" x14ac:dyDescent="0.7">
      <c r="A12" s="92"/>
      <c r="B12" s="342" t="s">
        <v>191</v>
      </c>
      <c r="C12" s="343"/>
      <c r="D12" s="343"/>
      <c r="E12" s="343"/>
      <c r="F12" s="343"/>
      <c r="G12" s="343"/>
      <c r="H12" s="343"/>
      <c r="I12" s="344"/>
      <c r="K12" s="353" t="s">
        <v>187</v>
      </c>
      <c r="L12" s="354"/>
      <c r="M12" s="354"/>
      <c r="N12" s="354"/>
      <c r="O12" s="354"/>
      <c r="P12" s="354"/>
      <c r="Q12" s="354"/>
      <c r="R12" s="354"/>
      <c r="S12" s="355"/>
      <c r="T12" s="356">
        <v>0.5</v>
      </c>
      <c r="U12" s="357"/>
    </row>
    <row r="13" spans="1:22" ht="22.5" customHeight="1" x14ac:dyDescent="0.65">
      <c r="A13" s="92">
        <v>5</v>
      </c>
      <c r="B13" s="350" t="s">
        <v>197</v>
      </c>
      <c r="C13" s="350"/>
      <c r="D13" s="350"/>
      <c r="E13" s="350"/>
      <c r="F13" s="350"/>
      <c r="G13" s="350"/>
      <c r="H13" s="350"/>
      <c r="I13" s="350"/>
      <c r="K13" s="345" t="s">
        <v>194</v>
      </c>
      <c r="L13" s="346"/>
      <c r="M13" s="346"/>
      <c r="N13" s="346"/>
      <c r="O13" s="346"/>
      <c r="P13" s="346"/>
      <c r="Q13" s="346"/>
      <c r="R13" s="346"/>
      <c r="S13" s="346"/>
      <c r="T13" s="346"/>
      <c r="U13" s="346"/>
    </row>
    <row r="14" spans="1:22" ht="22.5" customHeight="1" x14ac:dyDescent="0.65">
      <c r="A14" s="92"/>
      <c r="B14" s="351"/>
      <c r="C14" s="351"/>
      <c r="D14" s="351"/>
      <c r="E14" s="351"/>
      <c r="F14" s="351"/>
      <c r="G14" s="351"/>
      <c r="H14" s="351"/>
      <c r="I14" s="351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</row>
    <row r="15" spans="1:22" ht="3.75" customHeight="1" x14ac:dyDescent="0.65">
      <c r="A15" s="92"/>
      <c r="B15" s="351"/>
      <c r="C15" s="351"/>
      <c r="D15" s="351"/>
      <c r="E15" s="351"/>
      <c r="F15" s="351"/>
      <c r="G15" s="351"/>
      <c r="H15" s="351"/>
      <c r="I15" s="351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</row>
    <row r="16" spans="1:22" ht="26.25" customHeight="1" x14ac:dyDescent="0.65">
      <c r="A16" s="92">
        <v>6</v>
      </c>
      <c r="B16" s="351"/>
      <c r="C16" s="351"/>
      <c r="D16" s="351"/>
      <c r="E16" s="351"/>
      <c r="F16" s="351"/>
      <c r="G16" s="351"/>
      <c r="H16" s="351"/>
      <c r="I16" s="351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</row>
    <row r="17" spans="2:22" ht="19.5" customHeight="1" x14ac:dyDescent="0.5">
      <c r="B17" s="351"/>
      <c r="C17" s="351"/>
      <c r="D17" s="351"/>
      <c r="E17" s="351"/>
      <c r="F17" s="351"/>
      <c r="G17" s="351"/>
      <c r="H17" s="351"/>
      <c r="I17" s="351"/>
      <c r="K17" s="347"/>
      <c r="L17" s="347"/>
      <c r="M17" s="347"/>
      <c r="N17" s="347"/>
      <c r="O17" s="347"/>
      <c r="P17" s="347"/>
      <c r="Q17" s="347"/>
      <c r="R17" s="347"/>
      <c r="S17" s="347"/>
      <c r="T17" s="347"/>
      <c r="U17" s="347"/>
    </row>
    <row r="18" spans="2:22" ht="19.5" customHeight="1" x14ac:dyDescent="0.65">
      <c r="B18" s="351"/>
      <c r="C18" s="351"/>
      <c r="D18" s="351"/>
      <c r="E18" s="351"/>
      <c r="F18" s="351"/>
      <c r="G18" s="351"/>
      <c r="H18" s="351"/>
      <c r="I18" s="351"/>
      <c r="K18" s="96"/>
      <c r="L18" s="97"/>
      <c r="M18" s="348"/>
      <c r="N18" s="348"/>
      <c r="O18" s="348"/>
      <c r="P18" s="98"/>
      <c r="Q18" s="349"/>
      <c r="R18" s="349"/>
      <c r="S18" s="96"/>
      <c r="T18" s="96"/>
      <c r="U18" s="96"/>
      <c r="V18" s="97"/>
    </row>
    <row r="19" spans="2:22" ht="21.75" customHeight="1" thickBot="1" x14ac:dyDescent="0.55000000000000004">
      <c r="B19" s="352"/>
      <c r="C19" s="352"/>
      <c r="D19" s="352"/>
      <c r="E19" s="352"/>
      <c r="F19" s="352"/>
      <c r="G19" s="352"/>
      <c r="H19" s="352"/>
      <c r="I19" s="352"/>
      <c r="Q19" s="95"/>
      <c r="R19" s="95"/>
      <c r="S19" s="95"/>
      <c r="T19" s="95"/>
      <c r="U19" s="95"/>
    </row>
    <row r="20" spans="2:22" ht="3.75" customHeight="1" x14ac:dyDescent="0.5"/>
  </sheetData>
  <mergeCells count="32">
    <mergeCell ref="B12:I12"/>
    <mergeCell ref="K13:U14"/>
    <mergeCell ref="K15:U17"/>
    <mergeCell ref="M18:O18"/>
    <mergeCell ref="Q18:R18"/>
    <mergeCell ref="B13:I19"/>
    <mergeCell ref="K12:S12"/>
    <mergeCell ref="T12:U12"/>
    <mergeCell ref="B7:G7"/>
    <mergeCell ref="H7:I7"/>
    <mergeCell ref="K10:S10"/>
    <mergeCell ref="T10:U10"/>
    <mergeCell ref="K11:S11"/>
    <mergeCell ref="T11:U11"/>
    <mergeCell ref="B8:I11"/>
    <mergeCell ref="K7:S7"/>
    <mergeCell ref="T7:U7"/>
    <mergeCell ref="K8:S9"/>
    <mergeCell ref="T8:U9"/>
    <mergeCell ref="K5:S5"/>
    <mergeCell ref="T5:U5"/>
    <mergeCell ref="K6:S6"/>
    <mergeCell ref="T6:U6"/>
    <mergeCell ref="B5:I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448D-E0F6-45DE-B100-BEB0352D4ABC}">
  <dimension ref="A1:E71"/>
  <sheetViews>
    <sheetView rightToLeft="1" topLeftCell="A20" workbookViewId="0">
      <selection activeCell="E34" sqref="E34"/>
    </sheetView>
  </sheetViews>
  <sheetFormatPr defaultRowHeight="14.4" x14ac:dyDescent="0.3"/>
  <cols>
    <col min="1" max="1" width="10.21875" style="270" bestFit="1" customWidth="1"/>
    <col min="2" max="4" width="15.5546875" style="270" customWidth="1"/>
    <col min="5" max="5" width="15.5546875" customWidth="1"/>
  </cols>
  <sheetData>
    <row r="1" spans="1:5" x14ac:dyDescent="0.3">
      <c r="A1" s="268" t="s">
        <v>284</v>
      </c>
      <c r="B1" s="268" t="s">
        <v>285</v>
      </c>
      <c r="C1" s="268" t="s">
        <v>49</v>
      </c>
      <c r="D1" s="268" t="s">
        <v>50</v>
      </c>
      <c r="E1" s="271"/>
    </row>
    <row r="2" spans="1:5" ht="26.4" customHeight="1" x14ac:dyDescent="0.3">
      <c r="A2" s="269">
        <v>311309</v>
      </c>
      <c r="B2" s="269" t="s">
        <v>315</v>
      </c>
      <c r="C2" s="269" t="s">
        <v>202</v>
      </c>
      <c r="D2" s="269" t="s">
        <v>316</v>
      </c>
    </row>
    <row r="3" spans="1:5" ht="26.4" customHeight="1" x14ac:dyDescent="0.3">
      <c r="A3" s="269">
        <v>326241</v>
      </c>
      <c r="B3" s="269" t="s">
        <v>318</v>
      </c>
      <c r="C3" s="269" t="s">
        <v>200</v>
      </c>
      <c r="D3" s="269" t="s">
        <v>319</v>
      </c>
    </row>
    <row r="4" spans="1:5" ht="26.4" customHeight="1" x14ac:dyDescent="0.3">
      <c r="A4" s="269">
        <v>328027</v>
      </c>
      <c r="B4" s="269" t="s">
        <v>320</v>
      </c>
      <c r="C4" s="269" t="s">
        <v>200</v>
      </c>
      <c r="D4" s="269" t="s">
        <v>203</v>
      </c>
    </row>
    <row r="5" spans="1:5" ht="26.4" customHeight="1" x14ac:dyDescent="0.3">
      <c r="A5" s="269">
        <v>329366</v>
      </c>
      <c r="B5" s="269" t="s">
        <v>321</v>
      </c>
      <c r="C5" s="269" t="s">
        <v>198</v>
      </c>
      <c r="D5" s="269" t="s">
        <v>322</v>
      </c>
    </row>
    <row r="6" spans="1:5" ht="26.4" customHeight="1" x14ac:dyDescent="0.3">
      <c r="A6" s="269">
        <v>332365</v>
      </c>
      <c r="B6" s="269" t="s">
        <v>323</v>
      </c>
      <c r="C6" s="269" t="s">
        <v>324</v>
      </c>
      <c r="D6" s="269" t="s">
        <v>325</v>
      </c>
    </row>
    <row r="7" spans="1:5" ht="26.4" customHeight="1" x14ac:dyDescent="0.3">
      <c r="A7" s="269">
        <v>310892</v>
      </c>
      <c r="B7" s="269" t="s">
        <v>326</v>
      </c>
      <c r="C7" s="269" t="s">
        <v>199</v>
      </c>
      <c r="D7" s="269"/>
    </row>
    <row r="8" spans="1:5" ht="26.4" customHeight="1" x14ac:dyDescent="0.3">
      <c r="A8" s="269">
        <v>302941</v>
      </c>
      <c r="B8" s="269" t="s">
        <v>328</v>
      </c>
      <c r="C8" s="269" t="s">
        <v>200</v>
      </c>
      <c r="D8" s="269" t="s">
        <v>329</v>
      </c>
    </row>
    <row r="9" spans="1:5" ht="26.4" customHeight="1" x14ac:dyDescent="0.3">
      <c r="A9" s="269">
        <v>304099</v>
      </c>
      <c r="B9" s="269" t="s">
        <v>331</v>
      </c>
      <c r="C9" s="269" t="s">
        <v>332</v>
      </c>
      <c r="D9" s="269" t="s">
        <v>333</v>
      </c>
    </row>
    <row r="10" spans="1:5" ht="26.4" customHeight="1" x14ac:dyDescent="0.3">
      <c r="A10" s="269">
        <v>304516</v>
      </c>
      <c r="B10" s="269" t="s">
        <v>334</v>
      </c>
      <c r="C10" s="269" t="s">
        <v>335</v>
      </c>
      <c r="D10" s="269"/>
    </row>
    <row r="11" spans="1:5" ht="26.4" customHeight="1" x14ac:dyDescent="0.3">
      <c r="A11" s="269">
        <v>306498</v>
      </c>
      <c r="B11" s="269" t="s">
        <v>336</v>
      </c>
      <c r="C11" s="269" t="s">
        <v>337</v>
      </c>
      <c r="D11" s="269" t="s">
        <v>338</v>
      </c>
    </row>
    <row r="12" spans="1:5" ht="26.4" customHeight="1" x14ac:dyDescent="0.3">
      <c r="A12" s="269">
        <v>306936</v>
      </c>
      <c r="B12" s="269" t="s">
        <v>339</v>
      </c>
      <c r="C12" s="269" t="s">
        <v>198</v>
      </c>
      <c r="D12" s="269" t="s">
        <v>340</v>
      </c>
    </row>
    <row r="13" spans="1:5" ht="26.4" customHeight="1" x14ac:dyDescent="0.3">
      <c r="A13" s="269">
        <v>307676</v>
      </c>
      <c r="B13" s="269" t="s">
        <v>341</v>
      </c>
      <c r="C13" s="269" t="s">
        <v>198</v>
      </c>
      <c r="D13" s="269" t="s">
        <v>342</v>
      </c>
    </row>
    <row r="14" spans="1:5" ht="26.4" customHeight="1" x14ac:dyDescent="0.3">
      <c r="A14" s="269">
        <v>307845</v>
      </c>
      <c r="B14" s="269" t="s">
        <v>343</v>
      </c>
      <c r="C14" s="269" t="s">
        <v>200</v>
      </c>
      <c r="D14" s="269" t="s">
        <v>344</v>
      </c>
    </row>
    <row r="15" spans="1:5" ht="26.4" customHeight="1" x14ac:dyDescent="0.3">
      <c r="A15" s="269">
        <v>307961</v>
      </c>
      <c r="B15" s="269" t="s">
        <v>345</v>
      </c>
      <c r="C15" s="269" t="s">
        <v>346</v>
      </c>
      <c r="D15" s="269" t="s">
        <v>347</v>
      </c>
    </row>
    <row r="16" spans="1:5" ht="26.4" customHeight="1" x14ac:dyDescent="0.3">
      <c r="A16" s="269">
        <v>308237</v>
      </c>
      <c r="B16" s="269" t="s">
        <v>348</v>
      </c>
      <c r="C16" s="269" t="s">
        <v>349</v>
      </c>
      <c r="D16" s="269" t="s">
        <v>350</v>
      </c>
    </row>
    <row r="17" spans="1:4" ht="26.4" customHeight="1" x14ac:dyDescent="0.3">
      <c r="A17" s="269">
        <v>308669</v>
      </c>
      <c r="B17" s="269" t="s">
        <v>351</v>
      </c>
      <c r="C17" s="269" t="s">
        <v>337</v>
      </c>
      <c r="D17" s="269" t="s">
        <v>352</v>
      </c>
    </row>
    <row r="18" spans="1:4" ht="26.4" customHeight="1" x14ac:dyDescent="0.3">
      <c r="A18" s="269">
        <v>311089</v>
      </c>
      <c r="B18" s="269" t="s">
        <v>353</v>
      </c>
      <c r="C18" s="269" t="s">
        <v>354</v>
      </c>
      <c r="D18" s="269" t="s">
        <v>355</v>
      </c>
    </row>
    <row r="19" spans="1:4" ht="26.4" customHeight="1" x14ac:dyDescent="0.3">
      <c r="A19" s="269">
        <v>313627</v>
      </c>
      <c r="B19" s="269" t="s">
        <v>356</v>
      </c>
      <c r="C19" s="269" t="s">
        <v>202</v>
      </c>
      <c r="D19" s="269" t="s">
        <v>201</v>
      </c>
    </row>
    <row r="20" spans="1:4" ht="26.4" customHeight="1" x14ac:dyDescent="0.3">
      <c r="A20" s="269">
        <v>321084</v>
      </c>
      <c r="B20" s="269" t="s">
        <v>357</v>
      </c>
      <c r="C20" s="269" t="s">
        <v>358</v>
      </c>
      <c r="D20" s="269"/>
    </row>
    <row r="21" spans="1:4" ht="26.4" customHeight="1" x14ac:dyDescent="0.3">
      <c r="A21" s="269">
        <v>322464</v>
      </c>
      <c r="B21" s="269" t="s">
        <v>359</v>
      </c>
      <c r="C21" s="269" t="s">
        <v>360</v>
      </c>
      <c r="D21" s="269" t="s">
        <v>361</v>
      </c>
    </row>
    <row r="22" spans="1:4" ht="26.4" customHeight="1" x14ac:dyDescent="0.3">
      <c r="A22" s="269">
        <v>333708</v>
      </c>
      <c r="B22" s="269" t="s">
        <v>362</v>
      </c>
      <c r="C22" s="269" t="s">
        <v>363</v>
      </c>
      <c r="D22" s="269" t="s">
        <v>364</v>
      </c>
    </row>
    <row r="23" spans="1:4" ht="26.4" customHeight="1" x14ac:dyDescent="0.3">
      <c r="A23" s="269">
        <v>306511</v>
      </c>
      <c r="B23" s="269" t="s">
        <v>365</v>
      </c>
      <c r="C23" s="269" t="s">
        <v>366</v>
      </c>
      <c r="D23" s="269" t="s">
        <v>367</v>
      </c>
    </row>
    <row r="24" spans="1:4" ht="26.4" customHeight="1" x14ac:dyDescent="0.4">
      <c r="A24" s="277">
        <v>323965</v>
      </c>
      <c r="B24" s="278" t="s">
        <v>369</v>
      </c>
      <c r="C24" s="283" t="s">
        <v>349</v>
      </c>
      <c r="D24" s="284"/>
    </row>
    <row r="25" spans="1:4" ht="26.4" customHeight="1" x14ac:dyDescent="0.3">
      <c r="A25" s="279">
        <v>318416</v>
      </c>
      <c r="B25" s="280" t="s">
        <v>370</v>
      </c>
      <c r="C25" s="285" t="s">
        <v>373</v>
      </c>
      <c r="D25" s="286" t="s">
        <v>374</v>
      </c>
    </row>
    <row r="26" spans="1:4" ht="26.4" customHeight="1" x14ac:dyDescent="0.3">
      <c r="A26" s="279">
        <v>300208</v>
      </c>
      <c r="B26" s="281" t="s">
        <v>371</v>
      </c>
      <c r="C26" s="282" t="s">
        <v>375</v>
      </c>
      <c r="D26" s="287" t="s">
        <v>376</v>
      </c>
    </row>
    <row r="27" spans="1:4" ht="26.4" customHeight="1" x14ac:dyDescent="0.3">
      <c r="A27" s="279">
        <v>315048</v>
      </c>
      <c r="B27" s="282" t="s">
        <v>372</v>
      </c>
      <c r="C27" s="282" t="s">
        <v>377</v>
      </c>
      <c r="D27" s="287" t="s">
        <v>378</v>
      </c>
    </row>
    <row r="28" spans="1:4" ht="26.4" customHeight="1" x14ac:dyDescent="0.3">
      <c r="A28" s="269"/>
      <c r="B28" s="269"/>
      <c r="C28" s="269"/>
      <c r="D28" s="269"/>
    </row>
    <row r="29" spans="1:4" ht="26.4" customHeight="1" x14ac:dyDescent="0.3">
      <c r="A29" s="269"/>
      <c r="B29" s="269"/>
      <c r="C29" s="269"/>
      <c r="D29" s="269"/>
    </row>
    <row r="30" spans="1:4" ht="26.4" customHeight="1" x14ac:dyDescent="0.3">
      <c r="A30" s="269"/>
      <c r="B30" s="269"/>
      <c r="C30" s="269"/>
      <c r="D30" s="269"/>
    </row>
    <row r="31" spans="1:4" ht="26.4" customHeight="1" x14ac:dyDescent="0.3">
      <c r="A31" s="269"/>
      <c r="B31" s="269"/>
      <c r="C31" s="269"/>
      <c r="D31" s="269"/>
    </row>
    <row r="32" spans="1:4" ht="26.4" customHeight="1" x14ac:dyDescent="0.3">
      <c r="A32" s="269"/>
      <c r="B32" s="269"/>
      <c r="C32" s="269"/>
      <c r="D32" s="269"/>
    </row>
    <row r="33" spans="1:4" ht="26.4" customHeight="1" x14ac:dyDescent="0.3">
      <c r="A33" s="269"/>
      <c r="B33" s="269"/>
      <c r="C33" s="269"/>
      <c r="D33" s="269"/>
    </row>
    <row r="34" spans="1:4" ht="26.4" customHeight="1" x14ac:dyDescent="0.3">
      <c r="A34" s="269"/>
      <c r="B34" s="269"/>
      <c r="C34" s="269"/>
      <c r="D34" s="269"/>
    </row>
    <row r="35" spans="1:4" ht="26.4" customHeight="1" x14ac:dyDescent="0.3">
      <c r="A35" s="269"/>
      <c r="B35" s="269"/>
      <c r="C35" s="269"/>
      <c r="D35" s="269"/>
    </row>
    <row r="36" spans="1:4" ht="26.4" customHeight="1" x14ac:dyDescent="0.3">
      <c r="A36" s="269"/>
      <c r="B36" s="269"/>
      <c r="C36" s="269"/>
      <c r="D36" s="269"/>
    </row>
    <row r="37" spans="1:4" ht="26.4" customHeight="1" x14ac:dyDescent="0.3">
      <c r="A37" s="269"/>
      <c r="B37" s="269"/>
      <c r="C37" s="269"/>
      <c r="D37" s="269"/>
    </row>
    <row r="38" spans="1:4" ht="26.4" customHeight="1" x14ac:dyDescent="0.3">
      <c r="A38" s="269"/>
      <c r="B38" s="269"/>
      <c r="C38" s="269"/>
      <c r="D38" s="269"/>
    </row>
    <row r="39" spans="1:4" ht="26.4" customHeight="1" x14ac:dyDescent="0.3">
      <c r="A39" s="269"/>
      <c r="B39" s="269"/>
      <c r="C39" s="269"/>
      <c r="D39" s="269"/>
    </row>
    <row r="40" spans="1:4" ht="26.4" customHeight="1" x14ac:dyDescent="0.3">
      <c r="A40" s="269"/>
      <c r="B40" s="269"/>
      <c r="C40" s="269"/>
      <c r="D40" s="269"/>
    </row>
    <row r="41" spans="1:4" ht="26.4" customHeight="1" x14ac:dyDescent="0.3">
      <c r="A41" s="269"/>
      <c r="B41" s="269"/>
      <c r="C41" s="269"/>
      <c r="D41" s="269"/>
    </row>
    <row r="42" spans="1:4" ht="26.4" customHeight="1" x14ac:dyDescent="0.3">
      <c r="A42" s="269"/>
      <c r="B42" s="269"/>
      <c r="C42" s="269"/>
      <c r="D42" s="269"/>
    </row>
    <row r="43" spans="1:4" ht="26.4" customHeight="1" x14ac:dyDescent="0.3">
      <c r="A43" s="269"/>
      <c r="B43" s="269"/>
      <c r="C43" s="269"/>
      <c r="D43" s="269"/>
    </row>
    <row r="44" spans="1:4" ht="26.4" customHeight="1" x14ac:dyDescent="0.3">
      <c r="A44" s="269"/>
      <c r="B44" s="269"/>
      <c r="C44" s="269"/>
      <c r="D44" s="269"/>
    </row>
    <row r="45" spans="1:4" ht="26.4" customHeight="1" x14ac:dyDescent="0.3">
      <c r="A45" s="269"/>
      <c r="B45" s="269"/>
      <c r="C45" s="269"/>
      <c r="D45" s="269"/>
    </row>
    <row r="46" spans="1:4" ht="26.4" customHeight="1" x14ac:dyDescent="0.3">
      <c r="A46" s="269"/>
      <c r="B46" s="269"/>
      <c r="C46" s="269"/>
      <c r="D46" s="269"/>
    </row>
    <row r="47" spans="1:4" ht="26.4" customHeight="1" x14ac:dyDescent="0.3">
      <c r="A47" s="269"/>
      <c r="B47" s="269"/>
      <c r="C47" s="269"/>
      <c r="D47" s="269"/>
    </row>
    <row r="48" spans="1:4" ht="26.4" customHeight="1" x14ac:dyDescent="0.3">
      <c r="A48" s="269"/>
      <c r="B48" s="269"/>
      <c r="C48" s="269"/>
      <c r="D48" s="269"/>
    </row>
    <row r="49" spans="1:4" ht="26.4" customHeight="1" x14ac:dyDescent="0.3">
      <c r="A49" s="269"/>
      <c r="B49" s="269"/>
      <c r="C49" s="269"/>
      <c r="D49" s="269"/>
    </row>
    <row r="50" spans="1:4" ht="26.4" customHeight="1" x14ac:dyDescent="0.3">
      <c r="A50" s="269"/>
      <c r="B50" s="269"/>
      <c r="C50" s="269"/>
      <c r="D50" s="269"/>
    </row>
    <row r="51" spans="1:4" ht="26.4" customHeight="1" x14ac:dyDescent="0.3">
      <c r="A51" s="269"/>
      <c r="B51" s="269"/>
      <c r="C51" s="269"/>
      <c r="D51" s="269"/>
    </row>
    <row r="52" spans="1:4" ht="26.4" customHeight="1" x14ac:dyDescent="0.3">
      <c r="A52" s="269"/>
      <c r="B52" s="269"/>
      <c r="C52" s="269"/>
      <c r="D52" s="269"/>
    </row>
    <row r="53" spans="1:4" ht="26.4" customHeight="1" x14ac:dyDescent="0.3">
      <c r="A53" s="269"/>
      <c r="B53" s="269"/>
      <c r="C53" s="269"/>
      <c r="D53" s="269"/>
    </row>
    <row r="54" spans="1:4" ht="26.4" customHeight="1" x14ac:dyDescent="0.3">
      <c r="A54" s="269"/>
      <c r="B54" s="269"/>
      <c r="C54" s="269"/>
      <c r="D54" s="269"/>
    </row>
    <row r="55" spans="1:4" ht="26.4" customHeight="1" x14ac:dyDescent="0.3">
      <c r="A55" s="269"/>
      <c r="B55" s="269"/>
      <c r="C55" s="269"/>
      <c r="D55" s="269"/>
    </row>
    <row r="56" spans="1:4" ht="26.4" customHeight="1" x14ac:dyDescent="0.3">
      <c r="A56" s="269"/>
      <c r="B56" s="269"/>
      <c r="C56" s="269"/>
      <c r="D56" s="269"/>
    </row>
    <row r="57" spans="1:4" ht="26.4" customHeight="1" x14ac:dyDescent="0.3">
      <c r="A57" s="269"/>
      <c r="B57" s="269"/>
      <c r="C57" s="269"/>
      <c r="D57" s="269"/>
    </row>
    <row r="58" spans="1:4" ht="26.4" customHeight="1" x14ac:dyDescent="0.3">
      <c r="A58" s="269"/>
      <c r="B58" s="269"/>
      <c r="C58" s="269"/>
      <c r="D58" s="269"/>
    </row>
    <row r="59" spans="1:4" ht="26.4" customHeight="1" x14ac:dyDescent="0.3">
      <c r="A59" s="269"/>
      <c r="B59" s="269"/>
      <c r="C59" s="269"/>
      <c r="D59" s="269"/>
    </row>
    <row r="60" spans="1:4" ht="26.4" customHeight="1" x14ac:dyDescent="0.3">
      <c r="A60" s="269"/>
      <c r="B60" s="269"/>
      <c r="C60" s="269"/>
      <c r="D60" s="269"/>
    </row>
    <row r="61" spans="1:4" ht="26.4" customHeight="1" x14ac:dyDescent="0.3">
      <c r="A61" s="269"/>
      <c r="B61" s="269"/>
      <c r="C61" s="269"/>
      <c r="D61" s="269"/>
    </row>
    <row r="62" spans="1:4" ht="26.4" customHeight="1" x14ac:dyDescent="0.3">
      <c r="A62" s="269"/>
      <c r="B62" s="269"/>
      <c r="C62" s="269"/>
      <c r="D62" s="269"/>
    </row>
    <row r="63" spans="1:4" ht="26.4" customHeight="1" x14ac:dyDescent="0.3">
      <c r="A63" s="269"/>
      <c r="B63" s="269"/>
      <c r="C63" s="269"/>
      <c r="D63" s="269"/>
    </row>
    <row r="64" spans="1:4" ht="26.4" customHeight="1" x14ac:dyDescent="0.3">
      <c r="A64" s="269"/>
      <c r="B64" s="269"/>
      <c r="C64" s="269"/>
      <c r="D64" s="269"/>
    </row>
    <row r="65" spans="1:4" ht="26.4" customHeight="1" x14ac:dyDescent="0.3">
      <c r="A65" s="269"/>
      <c r="B65" s="269"/>
      <c r="C65" s="269"/>
      <c r="D65" s="269"/>
    </row>
    <row r="66" spans="1:4" ht="26.4" customHeight="1" x14ac:dyDescent="0.3">
      <c r="A66" s="269"/>
      <c r="B66" s="269"/>
      <c r="C66" s="269"/>
      <c r="D66" s="269"/>
    </row>
    <row r="67" spans="1:4" ht="26.4" customHeight="1" x14ac:dyDescent="0.3">
      <c r="A67" s="269"/>
      <c r="B67" s="269"/>
      <c r="C67" s="269"/>
      <c r="D67" s="269"/>
    </row>
    <row r="68" spans="1:4" ht="26.4" customHeight="1" x14ac:dyDescent="0.3">
      <c r="A68" s="269"/>
      <c r="B68" s="269"/>
      <c r="C68" s="269"/>
      <c r="D68" s="269"/>
    </row>
    <row r="69" spans="1:4" ht="26.4" customHeight="1" x14ac:dyDescent="0.3">
      <c r="A69" s="269"/>
      <c r="B69" s="269"/>
      <c r="C69" s="269"/>
      <c r="D69" s="269"/>
    </row>
    <row r="70" spans="1:4" ht="26.4" customHeight="1" x14ac:dyDescent="0.3"/>
    <row r="71" spans="1:4" ht="26.4" customHeight="1" x14ac:dyDescent="0.3"/>
  </sheetData>
  <sheetProtection algorithmName="SHA-512" hashValue="uV0/8F80Ys74egx533biwT5ESfKLvpRTcdupjTbxopH+xizSc+b4S2mXCD8ymFIGV9OSQVbh5DsYgZIDFjQGYA==" saltValue="dL9dPpWoLuob8N5Z5v1sZQ==" spinCount="100000" sheet="1" objects="1" scenarios="1"/>
  <conditionalFormatting sqref="A1:A23 A28:A69">
    <cfRule type="duplicateValues" dxfId="34" priority="2"/>
  </conditionalFormatting>
  <conditionalFormatting sqref="A24:A27">
    <cfRule type="duplicateValues" dxfId="33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2278-8C0E-4839-9550-BA8F38D94333}">
  <sheetPr codeName="ورقة2"/>
  <dimension ref="A1:AB74"/>
  <sheetViews>
    <sheetView showGridLines="0" rightToLeft="1" tabSelected="1" workbookViewId="0">
      <selection activeCell="C1" sqref="C1"/>
    </sheetView>
  </sheetViews>
  <sheetFormatPr defaultColWidth="9" defaultRowHeight="14.4" x14ac:dyDescent="0.3"/>
  <cols>
    <col min="1" max="1" width="13.88671875" bestFit="1" customWidth="1"/>
    <col min="2" max="2" width="22.21875" customWidth="1"/>
    <col min="3" max="3" width="18.88671875" customWidth="1"/>
    <col min="4" max="4" width="26" customWidth="1"/>
    <col min="5" max="5" width="20.44140625" customWidth="1"/>
    <col min="6" max="6" width="20" customWidth="1"/>
    <col min="7" max="7" width="3.44140625" bestFit="1" customWidth="1"/>
    <col min="8" max="8" width="18.88671875" hidden="1" customWidth="1"/>
    <col min="9" max="9" width="3" hidden="1" customWidth="1"/>
    <col min="10" max="10" width="13.6640625" hidden="1" customWidth="1"/>
    <col min="11" max="11" width="3" hidden="1" customWidth="1"/>
    <col min="12" max="12" width="3.21875" hidden="1" customWidth="1"/>
    <col min="13" max="13" width="8.33203125" hidden="1" customWidth="1"/>
    <col min="14" max="14" width="20" style="165" hidden="1" customWidth="1"/>
    <col min="15" max="15" width="3" style="165" hidden="1" customWidth="1"/>
    <col min="16" max="16" width="13.6640625" hidden="1" customWidth="1"/>
    <col min="17" max="18" width="0" hidden="1" customWidth="1"/>
    <col min="19" max="19" width="2" hidden="1" customWidth="1"/>
    <col min="20" max="20" width="5.109375" hidden="1" customWidth="1"/>
    <col min="21" max="21" width="2" hidden="1" customWidth="1"/>
    <col min="22" max="22" width="3.44140625" hidden="1" customWidth="1"/>
    <col min="23" max="23" width="2" hidden="1" customWidth="1"/>
    <col min="24" max="24" width="9.6640625" hidden="1" customWidth="1"/>
    <col min="25" max="26" width="0" hidden="1" customWidth="1"/>
    <col min="27" max="27" width="3" hidden="1" customWidth="1"/>
    <col min="28" max="28" width="5" bestFit="1" customWidth="1"/>
  </cols>
  <sheetData>
    <row r="1" spans="1:28" ht="25.8" customHeight="1" x14ac:dyDescent="0.3">
      <c r="A1" s="359" t="s">
        <v>225</v>
      </c>
      <c r="B1" s="359"/>
      <c r="C1" s="191"/>
      <c r="D1" s="192" t="e">
        <f>VLOOKUP(C1,ورقة2!A3:B10869,2,0)</f>
        <v>#N/A</v>
      </c>
    </row>
    <row r="2" spans="1:28" ht="23.4" customHeight="1" x14ac:dyDescent="0.3">
      <c r="A2" s="360" t="e">
        <f>IF('اختيار المقررات'!E2="مستنفذ",'اختيار المقررات'!B6,"يجب أن تقوم يا"&amp;" "&amp;D1&amp;" بملئ الحقول التالية بالمعلومات الصحيحة وإلا لا تعتبر طالب مسجل")</f>
        <v>#N/A</v>
      </c>
      <c r="B2" s="360"/>
      <c r="C2" s="360"/>
      <c r="D2" s="360"/>
      <c r="E2" s="360"/>
      <c r="F2" s="360"/>
    </row>
    <row r="3" spans="1:28" x14ac:dyDescent="0.3">
      <c r="J3" t="s">
        <v>10</v>
      </c>
      <c r="L3" s="358" t="s">
        <v>226</v>
      </c>
      <c r="M3" s="358"/>
      <c r="N3"/>
      <c r="O3" s="358"/>
      <c r="P3" s="358"/>
      <c r="S3" s="358" t="s">
        <v>227</v>
      </c>
      <c r="T3" s="358"/>
      <c r="U3" s="358" t="s">
        <v>11</v>
      </c>
      <c r="V3" s="358"/>
      <c r="X3" t="s">
        <v>9</v>
      </c>
      <c r="AA3" s="165"/>
    </row>
    <row r="4" spans="1:28" ht="23.25" customHeight="1" x14ac:dyDescent="0.3">
      <c r="A4" s="193" t="s">
        <v>88</v>
      </c>
      <c r="B4" s="194" t="s">
        <v>89</v>
      </c>
      <c r="C4" s="194" t="s">
        <v>90</v>
      </c>
      <c r="D4" s="194" t="s">
        <v>91</v>
      </c>
      <c r="E4" s="194" t="s">
        <v>92</v>
      </c>
      <c r="F4" s="194" t="s">
        <v>93</v>
      </c>
      <c r="I4">
        <v>1</v>
      </c>
      <c r="J4" t="s">
        <v>229</v>
      </c>
      <c r="K4">
        <v>1</v>
      </c>
      <c r="L4" s="195" t="s">
        <v>228</v>
      </c>
      <c r="M4" t="s">
        <v>84</v>
      </c>
      <c r="N4"/>
      <c r="S4" s="234">
        <v>1</v>
      </c>
      <c r="T4" t="s">
        <v>85</v>
      </c>
      <c r="U4">
        <v>2</v>
      </c>
      <c r="V4" t="s">
        <v>64</v>
      </c>
      <c r="W4">
        <v>1</v>
      </c>
      <c r="X4" t="s">
        <v>230</v>
      </c>
      <c r="AA4" s="165"/>
    </row>
    <row r="5" spans="1:28" s="197" customFormat="1" ht="33.75" customHeight="1" x14ac:dyDescent="0.3">
      <c r="A5" s="48"/>
      <c r="B5" s="48"/>
      <c r="C5" s="196" t="str">
        <f>A5&amp;" "&amp;B5</f>
        <v xml:space="preserve"> </v>
      </c>
      <c r="D5" s="48"/>
      <c r="E5" s="48"/>
      <c r="F5" s="48"/>
      <c r="I5">
        <v>2</v>
      </c>
      <c r="J5" t="s">
        <v>232</v>
      </c>
      <c r="K5">
        <v>2</v>
      </c>
      <c r="L5" s="195" t="s">
        <v>231</v>
      </c>
      <c r="M5" t="s">
        <v>94</v>
      </c>
      <c r="N5"/>
      <c r="O5" s="165"/>
      <c r="P5"/>
      <c r="Q5"/>
      <c r="R5"/>
      <c r="S5" s="234">
        <v>2</v>
      </c>
      <c r="T5" t="s">
        <v>87</v>
      </c>
      <c r="U5">
        <v>1</v>
      </c>
      <c r="V5" t="s">
        <v>65</v>
      </c>
      <c r="W5">
        <v>2</v>
      </c>
      <c r="X5" t="s">
        <v>233</v>
      </c>
      <c r="Y5"/>
      <c r="AA5" s="165"/>
      <c r="AB5"/>
    </row>
    <row r="6" spans="1:28" ht="23.25" customHeight="1" x14ac:dyDescent="0.3">
      <c r="A6" s="194" t="s">
        <v>52</v>
      </c>
      <c r="B6" s="193" t="s">
        <v>235</v>
      </c>
      <c r="C6" s="194" t="s">
        <v>81</v>
      </c>
      <c r="D6" s="198" t="s">
        <v>236</v>
      </c>
      <c r="E6" s="198" t="s">
        <v>55</v>
      </c>
      <c r="F6" s="193" t="s">
        <v>54</v>
      </c>
      <c r="I6">
        <v>3</v>
      </c>
      <c r="J6" t="s">
        <v>302</v>
      </c>
      <c r="K6">
        <v>3</v>
      </c>
      <c r="L6" s="195" t="s">
        <v>234</v>
      </c>
      <c r="M6" t="s">
        <v>86</v>
      </c>
      <c r="N6"/>
      <c r="S6" s="234">
        <v>3</v>
      </c>
      <c r="T6" t="s">
        <v>195</v>
      </c>
      <c r="W6">
        <v>3</v>
      </c>
      <c r="X6" t="s">
        <v>246</v>
      </c>
      <c r="AA6" s="165"/>
    </row>
    <row r="7" spans="1:28" ht="33.75" customHeight="1" x14ac:dyDescent="0.3">
      <c r="A7" s="53"/>
      <c r="B7" s="48"/>
      <c r="C7" s="48"/>
      <c r="D7" s="53"/>
      <c r="E7" s="53"/>
      <c r="F7" s="48"/>
      <c r="I7">
        <v>4</v>
      </c>
      <c r="J7" t="s">
        <v>240</v>
      </c>
      <c r="K7">
        <v>4</v>
      </c>
      <c r="L7" s="195" t="s">
        <v>239</v>
      </c>
      <c r="M7" t="s">
        <v>95</v>
      </c>
      <c r="N7"/>
      <c r="S7" s="165"/>
      <c r="W7">
        <v>4</v>
      </c>
      <c r="X7" t="s">
        <v>248</v>
      </c>
      <c r="AA7" s="165"/>
    </row>
    <row r="8" spans="1:28" ht="23.25" customHeight="1" x14ac:dyDescent="0.3">
      <c r="A8" s="194" t="s">
        <v>53</v>
      </c>
      <c r="B8" s="194" t="s">
        <v>243</v>
      </c>
      <c r="C8" s="194" t="s">
        <v>244</v>
      </c>
      <c r="D8" s="194" t="s">
        <v>63</v>
      </c>
      <c r="I8">
        <v>5</v>
      </c>
      <c r="J8" t="s">
        <v>245</v>
      </c>
      <c r="K8">
        <v>5</v>
      </c>
      <c r="L8" s="195" t="s">
        <v>242</v>
      </c>
      <c r="M8" t="s">
        <v>96</v>
      </c>
      <c r="N8"/>
      <c r="S8" s="165"/>
      <c r="W8">
        <v>5</v>
      </c>
      <c r="X8" t="s">
        <v>238</v>
      </c>
      <c r="AA8" s="165"/>
    </row>
    <row r="9" spans="1:28" ht="33.75" customHeight="1" x14ac:dyDescent="0.3">
      <c r="A9" s="48"/>
      <c r="B9" s="48"/>
      <c r="C9" s="48"/>
      <c r="D9" s="48"/>
      <c r="I9">
        <v>6</v>
      </c>
      <c r="J9" t="s">
        <v>247</v>
      </c>
      <c r="K9">
        <v>6</v>
      </c>
      <c r="L9" s="195" t="s">
        <v>237</v>
      </c>
      <c r="M9" t="s">
        <v>97</v>
      </c>
      <c r="N9"/>
      <c r="W9">
        <v>6</v>
      </c>
      <c r="X9" t="s">
        <v>241</v>
      </c>
      <c r="AA9" s="165"/>
    </row>
    <row r="10" spans="1:28" ht="23.25" customHeight="1" x14ac:dyDescent="0.3">
      <c r="A10" s="194" t="s">
        <v>51</v>
      </c>
      <c r="B10" s="194" t="s">
        <v>6</v>
      </c>
      <c r="C10" s="194" t="s">
        <v>10</v>
      </c>
      <c r="D10" s="194" t="s">
        <v>11</v>
      </c>
      <c r="I10">
        <v>7</v>
      </c>
      <c r="J10" t="s">
        <v>250</v>
      </c>
      <c r="K10">
        <v>7</v>
      </c>
      <c r="L10" s="195" t="s">
        <v>249</v>
      </c>
      <c r="M10" t="s">
        <v>99</v>
      </c>
      <c r="N10"/>
      <c r="W10">
        <v>7</v>
      </c>
      <c r="X10" t="s">
        <v>251</v>
      </c>
      <c r="AA10" s="165"/>
    </row>
    <row r="11" spans="1:28" ht="33.75" customHeight="1" x14ac:dyDescent="0.3">
      <c r="A11" s="48"/>
      <c r="B11" s="48"/>
      <c r="C11" s="48"/>
      <c r="D11" s="48"/>
      <c r="I11">
        <v>8</v>
      </c>
      <c r="J11" t="s">
        <v>253</v>
      </c>
      <c r="K11">
        <v>8</v>
      </c>
      <c r="L11" s="195" t="s">
        <v>252</v>
      </c>
      <c r="M11" t="s">
        <v>103</v>
      </c>
      <c r="N11"/>
      <c r="W11">
        <v>8</v>
      </c>
      <c r="X11" t="s">
        <v>254</v>
      </c>
      <c r="AA11" s="165"/>
    </row>
    <row r="12" spans="1:28" ht="23.25" customHeight="1" x14ac:dyDescent="0.3">
      <c r="A12" s="194" t="s">
        <v>49</v>
      </c>
      <c r="B12" s="194" t="s">
        <v>50</v>
      </c>
      <c r="I12">
        <v>9</v>
      </c>
      <c r="J12" t="s">
        <v>303</v>
      </c>
      <c r="K12">
        <v>9</v>
      </c>
      <c r="L12" s="195" t="s">
        <v>255</v>
      </c>
      <c r="M12" t="s">
        <v>104</v>
      </c>
      <c r="N12"/>
      <c r="O12"/>
      <c r="W12">
        <v>9</v>
      </c>
      <c r="X12" t="s">
        <v>293</v>
      </c>
      <c r="AA12" s="165"/>
    </row>
    <row r="13" spans="1:28" ht="33.75" customHeight="1" x14ac:dyDescent="0.3">
      <c r="A13" s="48"/>
      <c r="B13" s="48"/>
      <c r="I13">
        <v>10</v>
      </c>
      <c r="J13" t="s">
        <v>304</v>
      </c>
      <c r="K13">
        <v>10</v>
      </c>
      <c r="L13" s="195" t="s">
        <v>256</v>
      </c>
      <c r="M13" t="s">
        <v>98</v>
      </c>
      <c r="N13"/>
      <c r="O13"/>
      <c r="AA13" s="165"/>
    </row>
    <row r="14" spans="1:28" x14ac:dyDescent="0.3">
      <c r="I14">
        <v>11</v>
      </c>
      <c r="J14" t="s">
        <v>305</v>
      </c>
      <c r="K14">
        <v>11</v>
      </c>
      <c r="L14" s="195" t="s">
        <v>257</v>
      </c>
      <c r="M14" t="s">
        <v>105</v>
      </c>
      <c r="N14"/>
      <c r="O14"/>
      <c r="AA14" s="165"/>
    </row>
    <row r="15" spans="1:28" x14ac:dyDescent="0.3">
      <c r="I15">
        <v>12</v>
      </c>
      <c r="J15" t="s">
        <v>306</v>
      </c>
      <c r="K15">
        <v>12</v>
      </c>
      <c r="L15" s="195" t="s">
        <v>258</v>
      </c>
      <c r="M15" t="s">
        <v>102</v>
      </c>
      <c r="N15"/>
      <c r="O15"/>
      <c r="AA15" s="165"/>
    </row>
    <row r="16" spans="1:28" x14ac:dyDescent="0.3">
      <c r="I16">
        <v>13</v>
      </c>
      <c r="J16" t="s">
        <v>307</v>
      </c>
      <c r="K16">
        <v>13</v>
      </c>
      <c r="L16" s="195" t="s">
        <v>259</v>
      </c>
      <c r="M16" t="s">
        <v>100</v>
      </c>
      <c r="N16"/>
      <c r="O16"/>
      <c r="AA16" s="165"/>
    </row>
    <row r="17" spans="7:27" x14ac:dyDescent="0.3">
      <c r="I17">
        <v>14</v>
      </c>
      <c r="J17" t="s">
        <v>308</v>
      </c>
      <c r="K17">
        <v>14</v>
      </c>
      <c r="L17" s="195" t="s">
        <v>260</v>
      </c>
      <c r="M17" t="s">
        <v>101</v>
      </c>
      <c r="N17"/>
      <c r="O17"/>
      <c r="AA17" s="165"/>
    </row>
    <row r="18" spans="7:27" x14ac:dyDescent="0.3">
      <c r="I18">
        <v>15</v>
      </c>
      <c r="J18" t="s">
        <v>309</v>
      </c>
      <c r="K18">
        <v>15</v>
      </c>
      <c r="L18" s="195" t="s">
        <v>261</v>
      </c>
      <c r="M18" t="s">
        <v>262</v>
      </c>
      <c r="AA18" s="165"/>
    </row>
    <row r="19" spans="7:27" x14ac:dyDescent="0.3">
      <c r="I19">
        <v>16</v>
      </c>
      <c r="J19" t="s">
        <v>310</v>
      </c>
      <c r="K19">
        <v>16</v>
      </c>
      <c r="L19" s="195" t="s">
        <v>263</v>
      </c>
      <c r="M19" t="s">
        <v>264</v>
      </c>
      <c r="AA19" s="165"/>
    </row>
    <row r="20" spans="7:27" x14ac:dyDescent="0.3">
      <c r="I20">
        <v>17</v>
      </c>
      <c r="J20" t="s">
        <v>311</v>
      </c>
      <c r="K20">
        <v>17</v>
      </c>
      <c r="AA20" s="165"/>
    </row>
    <row r="21" spans="7:27" x14ac:dyDescent="0.3">
      <c r="G21" s="199" t="s">
        <v>64</v>
      </c>
      <c r="AA21" s="165"/>
    </row>
    <row r="22" spans="7:27" x14ac:dyDescent="0.3">
      <c r="G22" s="199" t="s">
        <v>65</v>
      </c>
      <c r="AA22" s="165"/>
    </row>
    <row r="23" spans="7:27" x14ac:dyDescent="0.3">
      <c r="AA23" s="165"/>
    </row>
    <row r="24" spans="7:27" x14ac:dyDescent="0.3">
      <c r="AA24" s="165"/>
    </row>
    <row r="25" spans="7:27" x14ac:dyDescent="0.3">
      <c r="AA25" s="165"/>
    </row>
    <row r="26" spans="7:27" x14ac:dyDescent="0.3">
      <c r="AA26" s="165"/>
    </row>
    <row r="27" spans="7:27" x14ac:dyDescent="0.3">
      <c r="AA27" s="165"/>
    </row>
    <row r="28" spans="7:27" x14ac:dyDescent="0.3">
      <c r="AA28" s="165"/>
    </row>
    <row r="29" spans="7:27" x14ac:dyDescent="0.3">
      <c r="AA29" s="165"/>
    </row>
    <row r="30" spans="7:27" x14ac:dyDescent="0.3">
      <c r="AA30" s="165"/>
    </row>
    <row r="31" spans="7:27" x14ac:dyDescent="0.3">
      <c r="AA31" s="165"/>
    </row>
    <row r="32" spans="7:27" x14ac:dyDescent="0.3">
      <c r="AA32" s="165"/>
    </row>
    <row r="33" spans="27:27" x14ac:dyDescent="0.3">
      <c r="AA33" s="165"/>
    </row>
    <row r="34" spans="27:27" x14ac:dyDescent="0.3">
      <c r="AA34" s="165"/>
    </row>
    <row r="35" spans="27:27" x14ac:dyDescent="0.3">
      <c r="AA35" s="165"/>
    </row>
    <row r="36" spans="27:27" x14ac:dyDescent="0.3">
      <c r="AA36" s="165"/>
    </row>
    <row r="37" spans="27:27" x14ac:dyDescent="0.3">
      <c r="AA37" s="165"/>
    </row>
    <row r="38" spans="27:27" x14ac:dyDescent="0.3">
      <c r="AA38" s="165"/>
    </row>
    <row r="39" spans="27:27" x14ac:dyDescent="0.3">
      <c r="AA39" s="165"/>
    </row>
    <row r="40" spans="27:27" x14ac:dyDescent="0.3">
      <c r="AA40" s="165"/>
    </row>
    <row r="41" spans="27:27" x14ac:dyDescent="0.3">
      <c r="AA41" s="165"/>
    </row>
    <row r="42" spans="27:27" x14ac:dyDescent="0.3">
      <c r="AA42" s="165"/>
    </row>
    <row r="43" spans="27:27" x14ac:dyDescent="0.3">
      <c r="AA43" s="165"/>
    </row>
    <row r="44" spans="27:27" x14ac:dyDescent="0.3">
      <c r="AA44" s="165"/>
    </row>
    <row r="45" spans="27:27" x14ac:dyDescent="0.3">
      <c r="AA45" s="165"/>
    </row>
    <row r="46" spans="27:27" x14ac:dyDescent="0.3">
      <c r="AA46" s="165"/>
    </row>
    <row r="47" spans="27:27" x14ac:dyDescent="0.3">
      <c r="AA47" s="165"/>
    </row>
    <row r="48" spans="27:27" x14ac:dyDescent="0.3">
      <c r="AA48" s="165"/>
    </row>
    <row r="49" spans="27:27" x14ac:dyDescent="0.3">
      <c r="AA49" s="165"/>
    </row>
    <row r="50" spans="27:27" x14ac:dyDescent="0.3">
      <c r="AA50" s="165"/>
    </row>
    <row r="51" spans="27:27" x14ac:dyDescent="0.3">
      <c r="AA51" s="165"/>
    </row>
    <row r="52" spans="27:27" x14ac:dyDescent="0.3">
      <c r="AA52" s="165"/>
    </row>
    <row r="53" spans="27:27" x14ac:dyDescent="0.3">
      <c r="AA53" s="165"/>
    </row>
    <row r="54" spans="27:27" x14ac:dyDescent="0.3">
      <c r="AA54" s="165"/>
    </row>
    <row r="55" spans="27:27" x14ac:dyDescent="0.3">
      <c r="AA55" s="165"/>
    </row>
    <row r="56" spans="27:27" x14ac:dyDescent="0.3">
      <c r="AA56" s="165"/>
    </row>
    <row r="57" spans="27:27" x14ac:dyDescent="0.3">
      <c r="AA57" s="165"/>
    </row>
    <row r="58" spans="27:27" x14ac:dyDescent="0.3">
      <c r="AA58" s="165"/>
    </row>
    <row r="59" spans="27:27" x14ac:dyDescent="0.3">
      <c r="AA59" s="165"/>
    </row>
    <row r="60" spans="27:27" x14ac:dyDescent="0.3">
      <c r="AA60" s="165"/>
    </row>
    <row r="61" spans="27:27" x14ac:dyDescent="0.3">
      <c r="AA61" s="165"/>
    </row>
    <row r="62" spans="27:27" x14ac:dyDescent="0.3">
      <c r="AA62" s="165"/>
    </row>
    <row r="63" spans="27:27" x14ac:dyDescent="0.3">
      <c r="AA63" s="165"/>
    </row>
    <row r="64" spans="27:27" x14ac:dyDescent="0.3">
      <c r="AA64" s="165"/>
    </row>
    <row r="65" spans="27:27" x14ac:dyDescent="0.3">
      <c r="AA65" s="165"/>
    </row>
    <row r="66" spans="27:27" x14ac:dyDescent="0.3">
      <c r="AA66" s="165"/>
    </row>
    <row r="67" spans="27:27" x14ac:dyDescent="0.3">
      <c r="AA67" s="165"/>
    </row>
    <row r="68" spans="27:27" x14ac:dyDescent="0.3">
      <c r="AA68" s="165"/>
    </row>
    <row r="69" spans="27:27" x14ac:dyDescent="0.3">
      <c r="AA69" s="165"/>
    </row>
    <row r="70" spans="27:27" x14ac:dyDescent="0.3">
      <c r="AA70" s="165"/>
    </row>
    <row r="71" spans="27:27" x14ac:dyDescent="0.3">
      <c r="AA71" s="165"/>
    </row>
    <row r="72" spans="27:27" x14ac:dyDescent="0.3">
      <c r="AA72" s="165"/>
    </row>
    <row r="73" spans="27:27" x14ac:dyDescent="0.3">
      <c r="AA73" s="165"/>
    </row>
    <row r="74" spans="27:27" x14ac:dyDescent="0.3">
      <c r="AA74" s="165"/>
    </row>
  </sheetData>
  <sheetProtection algorithmName="SHA-512" hashValue="jWs+6/lvRU5ICDFJhilf3H1O3wBs/FYqv+CKfPLp0AvSc28PfEGGEEtMTsFnuGb4A4limY2p19gLJg06O6bORA==" saltValue="BNgm4u4gBm65YUtWt/pqxw==" spinCount="100000" sheet="1" objects="1" scenarios="1"/>
  <mergeCells count="6">
    <mergeCell ref="U3:V3"/>
    <mergeCell ref="A1:B1"/>
    <mergeCell ref="A2:F2"/>
    <mergeCell ref="L3:M3"/>
    <mergeCell ref="O3:P3"/>
    <mergeCell ref="S3:T3"/>
  </mergeCells>
  <conditionalFormatting sqref="J4:J20">
    <cfRule type="duplicateValues" dxfId="32" priority="15"/>
  </conditionalFormatting>
  <dataValidations count="14">
    <dataValidation type="list" allowBlank="1" showInputMessage="1" showErrorMessage="1" sqref="A9" xr:uid="{56EE259E-2989-4E4E-997F-F9716DEDE96B}">
      <formula1>$T$4:$T$6</formula1>
    </dataValidation>
    <dataValidation type="list" allowBlank="1" showInputMessage="1" showErrorMessage="1" sqref="C9" xr:uid="{B6197FB0-6D1D-4C98-A68A-7D3332F5872D}">
      <formula1>$M$4:$M$18</formula1>
    </dataValidation>
    <dataValidation type="list" allowBlank="1" showInputMessage="1" showErrorMessage="1" sqref="C11" xr:uid="{6F10B291-E639-4860-8859-2D93DA54DD87}">
      <formula1>$J$4:$J$20</formula1>
    </dataValidation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46399785-2E50-4F72-9609-DF06A93B6432}">
      <formula1>AND(OR(LEFT(A7,1)="0",LEFT(A7,1)="1",LEFT(A7,1)="9"),LEFT(A7,2)&lt;&gt;"00",LEN(A7)=11)</formula1>
    </dataValidation>
    <dataValidation type="list" allowBlank="1" showInputMessage="1" showErrorMessage="1" sqref="D11" xr:uid="{4B8C8717-8E4A-44C2-96FF-D81B97C88D72}">
      <formula1>$V$4:$V$5</formula1>
    </dataValidation>
    <dataValidation type="custom" allowBlank="1" showInputMessage="1" showErrorMessage="1" errorTitle="خطأ" error="رقم الموبايل غير صحيح" sqref="E7" xr:uid="{C949A109-D766-4FE4-9A6C-2F4EAF463E95}">
      <formula1>AND(LEFT(E7,2)="09",LEN(E7)=10)</formula1>
    </dataValidation>
    <dataValidation type="custom" allowBlank="1" showInputMessage="1" showErrorMessage="1" errorTitle="خطأ" error="رقم الهاتف غير صحيح_x000a_يجب كتابة نداء المحافظة ثم رقم الهاتف_x000a_" sqref="D7" xr:uid="{1AA6C08E-63BD-4918-9846-A72EB454F1AC}">
      <formula1>AND(LEFT(D7,1)="0",AND(LEN(D7)&gt;8,LEN(D7)&lt;12))</formula1>
    </dataValidation>
    <dataValidation type="date" allowBlank="1" showInputMessage="1" showErrorMessage="1" promptTitle="يجب أن يكون التاريخ " prompt="يوم / شهر / سنة" sqref="A11" xr:uid="{0413BFCB-212F-4257-8268-B2D29C546478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6DECC357-35E6-497D-B80D-7EF23C0B5C8B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A03DA80-382E-4076-A008-280A7598F0AB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A33FBF05-5FEF-47C4-86FA-2384E6E9F2F2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D82DA38A-87A2-4C83-903F-9975BAD8E156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E09C7C72-1262-4DAD-A65A-FCADA2F74BA3}"/>
    <dataValidation type="whole" allowBlank="1" showInputMessage="1" showErrorMessage="1" sqref="B9" xr:uid="{EE311C7E-B6F3-439E-9B84-9E8D0D2DC57B}">
      <formula1>1950</formula1>
      <formula2>2021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DF20EE6-7465-4FE0-A2FA-D4E04882D038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A3:F14</xm:sqref>
        </x14:conditionalFormatting>
        <x14:conditionalFormatting xmlns:xm="http://schemas.microsoft.com/office/excel/2006/main">
          <x14:cfRule type="expression" priority="1" id="{ED80FC84-9779-460E-BBEA-AAF04AA31D19}">
            <xm:f>'اختيار المقررات'!$E$2="مستنفذ"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A2:F2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58"/>
  <sheetViews>
    <sheetView rightToLeft="1" topLeftCell="C5" workbookViewId="0">
      <selection activeCell="F5" sqref="F5:N5"/>
    </sheetView>
  </sheetViews>
  <sheetFormatPr defaultColWidth="0" defaultRowHeight="14.4" x14ac:dyDescent="0.3"/>
  <cols>
    <col min="1" max="1" width="4.77734375" style="1" hidden="1" customWidth="1"/>
    <col min="2" max="2" width="5.21875" style="1" hidden="1" customWidth="1"/>
    <col min="3" max="3" width="4.33203125" style="1" customWidth="1"/>
    <col min="4" max="4" width="9.6640625" style="1" customWidth="1"/>
    <col min="5" max="5" width="5" style="1" customWidth="1"/>
    <col min="6" max="6" width="3.33203125" style="1" customWidth="1"/>
    <col min="7" max="7" width="4.33203125" style="1" customWidth="1"/>
    <col min="8" max="9" width="4.88671875" style="1" customWidth="1"/>
    <col min="10" max="10" width="5.21875" style="1" bestFit="1" customWidth="1"/>
    <col min="11" max="11" width="6.5546875" style="1" hidden="1" customWidth="1"/>
    <col min="12" max="12" width="4.33203125" style="1" customWidth="1"/>
    <col min="13" max="13" width="9.33203125" style="1" customWidth="1"/>
    <col min="14" max="14" width="6.33203125" style="1" customWidth="1"/>
    <col min="15" max="15" width="7.33203125" style="1" customWidth="1"/>
    <col min="16" max="17" width="4.88671875" style="1" customWidth="1"/>
    <col min="18" max="18" width="5.21875" style="1" bestFit="1" customWidth="1"/>
    <col min="19" max="19" width="6" style="1" hidden="1" customWidth="1"/>
    <col min="20" max="20" width="8.33203125" style="1" bestFit="1" customWidth="1"/>
    <col min="21" max="21" width="5.33203125" style="1" customWidth="1"/>
    <col min="22" max="22" width="5.44140625" style="1" customWidth="1"/>
    <col min="23" max="23" width="17.44140625" style="1" customWidth="1"/>
    <col min="24" max="25" width="4.88671875" style="1" customWidth="1"/>
    <col min="26" max="26" width="5.21875" style="1" bestFit="1" customWidth="1"/>
    <col min="27" max="27" width="6.5546875" style="1" hidden="1" customWidth="1"/>
    <col min="28" max="28" width="4.88671875" style="1" bestFit="1" customWidth="1"/>
    <col min="29" max="29" width="10" style="1" customWidth="1"/>
    <col min="30" max="30" width="10.109375" style="1" customWidth="1"/>
    <col min="31" max="31" width="5.77734375" style="1" customWidth="1"/>
    <col min="32" max="33" width="4.88671875" style="1" customWidth="1"/>
    <col min="34" max="34" width="9" style="1" customWidth="1"/>
    <col min="35" max="35" width="3.88671875" style="1" customWidth="1"/>
    <col min="36" max="36" width="10.21875" style="1" customWidth="1"/>
    <col min="37" max="37" width="6.77734375" style="1" customWidth="1"/>
    <col min="38" max="38" width="2.21875" style="1" hidden="1" customWidth="1"/>
    <col min="39" max="39" width="2.88671875" style="1" hidden="1" customWidth="1"/>
    <col min="40" max="40" width="11.21875" style="1" hidden="1" customWidth="1"/>
    <col min="41" max="41" width="40.109375" style="1" hidden="1" customWidth="1"/>
    <col min="42" max="45" width="9" style="1" hidden="1" customWidth="1"/>
    <col min="46" max="46" width="8.44140625" style="1" hidden="1" customWidth="1"/>
    <col min="47" max="47" width="2.88671875" style="34" hidden="1" customWidth="1"/>
    <col min="48" max="48" width="3.88671875" style="34" hidden="1" customWidth="1"/>
    <col min="49" max="49" width="38.77734375" style="34" hidden="1" customWidth="1"/>
    <col min="50" max="50" width="1.88671875" style="34" hidden="1" customWidth="1"/>
    <col min="51" max="51" width="6.88671875" style="34" hidden="1" customWidth="1"/>
    <col min="52" max="54" width="9" style="34" hidden="1" customWidth="1"/>
    <col min="55" max="55" width="3.33203125" style="34" hidden="1" customWidth="1"/>
    <col min="56" max="57" width="9" style="34" hidden="1" customWidth="1"/>
    <col min="58" max="58" width="19.21875" style="34" hidden="1" customWidth="1"/>
    <col min="59" max="59" width="5" style="34" hidden="1" customWidth="1"/>
    <col min="60" max="80" width="9" style="34" hidden="1" customWidth="1"/>
    <col min="81" max="16384" width="9" style="1" hidden="1"/>
  </cols>
  <sheetData>
    <row r="1" spans="1:80" s="85" customFormat="1" ht="21" customHeight="1" thickBot="1" x14ac:dyDescent="0.35">
      <c r="B1" s="240"/>
      <c r="C1" s="363" t="s">
        <v>2</v>
      </c>
      <c r="D1" s="363"/>
      <c r="E1" s="413">
        <f>'إدخال البيانات'!C1</f>
        <v>0</v>
      </c>
      <c r="F1" s="414"/>
      <c r="G1" s="414"/>
      <c r="H1" s="363" t="s">
        <v>3</v>
      </c>
      <c r="I1" s="363"/>
      <c r="J1" s="363"/>
      <c r="K1" s="178"/>
      <c r="L1" s="415" t="str">
        <f>IFERROR(VLOOKUP($E$1,ورقة2!$A$3:$U$10869,2,0),"")</f>
        <v/>
      </c>
      <c r="M1" s="415"/>
      <c r="N1" s="415"/>
      <c r="O1" s="365" t="s">
        <v>4</v>
      </c>
      <c r="P1" s="365"/>
      <c r="Q1" s="392" t="str">
        <f>IFERROR(IF('إدخال البيانات'!A13&lt;&gt;"",'إدخال البيانات'!A13,VLOOKUP($E$1,ورقة2!$A$3:$U$10869,3,0)),"")</f>
        <v/>
      </c>
      <c r="R1" s="392"/>
      <c r="S1" s="392"/>
      <c r="T1" s="392"/>
      <c r="U1" s="365" t="s">
        <v>5</v>
      </c>
      <c r="V1" s="365"/>
      <c r="W1" s="179" t="str">
        <f>IFERROR(IF('إدخال البيانات'!B13&lt;&gt;"",'إدخال البيانات'!B13,VLOOKUP($E$1,ورقة2!A3:V9887,4,0)),"")</f>
        <v/>
      </c>
      <c r="X1" s="365" t="s">
        <v>51</v>
      </c>
      <c r="Y1" s="365"/>
      <c r="Z1" s="365"/>
      <c r="AA1" s="180"/>
      <c r="AB1" s="393" t="str">
        <f>IFERROR(IF('إدخال البيانات'!A11&lt;&gt;"",'إدخال البيانات'!A11,VLOOKUP($E$1,ورقة2!A3:U9887,6,0)),"")</f>
        <v/>
      </c>
      <c r="AC1" s="393"/>
      <c r="AD1" s="181" t="s">
        <v>6</v>
      </c>
      <c r="AE1" s="392" t="str">
        <f>IFERROR(IF('إدخال البيانات'!B11&lt;&gt;"",'إدخال البيانات'!B11,VLOOKUP($E$1,ورقة2!A3:V9887,7,0)),"")</f>
        <v/>
      </c>
      <c r="AF1" s="392"/>
      <c r="AG1" s="392"/>
      <c r="AH1" s="391"/>
      <c r="AI1" s="391"/>
      <c r="AJ1" s="254"/>
      <c r="AK1" s="134">
        <f>الإستمارة!AJ1</f>
        <v>17</v>
      </c>
      <c r="AL1" s="137"/>
      <c r="AO1" s="85" t="s">
        <v>68</v>
      </c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</row>
    <row r="2" spans="1:80" s="70" customFormat="1" ht="21" customHeight="1" thickTop="1" x14ac:dyDescent="0.3">
      <c r="B2" s="240"/>
      <c r="C2" s="363" t="s">
        <v>9</v>
      </c>
      <c r="D2" s="363"/>
      <c r="E2" s="411" t="e">
        <f>VLOOKUP($E$1,ورقة2!A3:V9887,9,0)</f>
        <v>#N/A</v>
      </c>
      <c r="F2" s="411"/>
      <c r="G2" s="411"/>
      <c r="H2" s="392">
        <f>'إدخال البيانات'!F5</f>
        <v>0</v>
      </c>
      <c r="I2" s="392"/>
      <c r="J2" s="392"/>
      <c r="K2" s="392"/>
      <c r="L2" s="392"/>
      <c r="M2" s="392"/>
      <c r="N2" s="392"/>
      <c r="O2" s="365" t="s">
        <v>77</v>
      </c>
      <c r="P2" s="365"/>
      <c r="Q2" s="392">
        <f>'إدخال البيانات'!E5</f>
        <v>0</v>
      </c>
      <c r="R2" s="392"/>
      <c r="S2" s="392"/>
      <c r="T2" s="392"/>
      <c r="U2" s="365" t="s">
        <v>78</v>
      </c>
      <c r="V2" s="365"/>
      <c r="W2" s="179">
        <f>'إدخال البيانات'!D5</f>
        <v>0</v>
      </c>
      <c r="X2" s="365" t="s">
        <v>79</v>
      </c>
      <c r="Y2" s="365"/>
      <c r="Z2" s="365"/>
      <c r="AA2" s="182"/>
      <c r="AB2" s="393" t="str">
        <f>'إدخال البيانات'!C5</f>
        <v xml:space="preserve"> </v>
      </c>
      <c r="AC2" s="393"/>
      <c r="AD2" s="181" t="s">
        <v>80</v>
      </c>
      <c r="AE2" s="396"/>
      <c r="AF2" s="396"/>
      <c r="AG2" s="396"/>
      <c r="AH2" s="391"/>
      <c r="AI2" s="391"/>
      <c r="AJ2" s="254"/>
      <c r="AK2" s="134"/>
      <c r="AO2" s="173" t="s">
        <v>69</v>
      </c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</row>
    <row r="3" spans="1:80" s="70" customFormat="1" ht="21" customHeight="1" x14ac:dyDescent="0.3">
      <c r="B3" s="363" t="s">
        <v>11</v>
      </c>
      <c r="C3" s="363"/>
      <c r="D3" s="363"/>
      <c r="E3" s="364" t="str">
        <f>IFERROR(IF('إدخال البيانات'!D11&lt;&gt;"",'إدخال البيانات'!D11,VLOOKUP(VLOOKUP($E$1,ورقة2!A3:V9887,5,0),'إدخال البيانات'!U4:V5,2,0)),"")</f>
        <v/>
      </c>
      <c r="F3" s="364"/>
      <c r="G3" s="364"/>
      <c r="H3" s="363" t="s">
        <v>10</v>
      </c>
      <c r="I3" s="363"/>
      <c r="J3" s="363"/>
      <c r="K3" s="183"/>
      <c r="L3" s="392" t="str">
        <f>IFERROR(IF(VLOOKUP($E$1,ورقة2!A3:V9887,8,0)=0,'إدخال البيانات'!C11,VLOOKUP(VLOOKUP($E$1,ورقة2!A3:V9887,8,0),'إدخال البيانات'!I4:J11,2,0)),"")</f>
        <v/>
      </c>
      <c r="M3" s="392"/>
      <c r="N3" s="392"/>
      <c r="O3" s="365" t="s">
        <v>52</v>
      </c>
      <c r="P3" s="365"/>
      <c r="Q3" s="392">
        <f>IF(OR(L3='إدخال البيانات'!J4,'اختيار المقررات'!L3='إدخال البيانات'!J5),'إدخال البيانات'!A7,'إدخال البيانات'!B7)</f>
        <v>0</v>
      </c>
      <c r="R3" s="392"/>
      <c r="S3" s="392"/>
      <c r="T3" s="392"/>
      <c r="U3" s="365" t="s">
        <v>16</v>
      </c>
      <c r="V3" s="365"/>
      <c r="W3" s="184" t="str">
        <f>IFERROR(IF(L3&lt;&gt;'إدخال البيانات'!J4,'إدخال البيانات'!M19,VLOOKUP(LEFT('إدخال البيانات'!A7,2),'إدخال البيانات'!L4:M19,2,0)),"")</f>
        <v>غير سوري</v>
      </c>
      <c r="X3" s="365" t="s">
        <v>81</v>
      </c>
      <c r="Y3" s="365"/>
      <c r="Z3" s="365"/>
      <c r="AA3" s="185"/>
      <c r="AB3" s="412" t="str">
        <f>IF(L3&lt;&gt;'إدخال البيانات'!J4,"غير سوري",'إدخال البيانات'!C7)</f>
        <v>غير سوري</v>
      </c>
      <c r="AC3" s="412"/>
      <c r="AD3" s="181" t="s">
        <v>63</v>
      </c>
      <c r="AE3" s="364" t="str">
        <f>IF(AND(OR(L3="العربية السورية",L3="الفلسطينية السورية"),E3="ذكر"),'إدخال البيانات'!D9,"لايوجد")</f>
        <v>لايوجد</v>
      </c>
      <c r="AF3" s="364"/>
      <c r="AG3" s="364"/>
      <c r="AH3" s="394"/>
      <c r="AI3" s="394"/>
      <c r="AJ3" s="254"/>
      <c r="AK3" s="134"/>
      <c r="AL3" s="137"/>
      <c r="AO3" s="173" t="s">
        <v>45</v>
      </c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</row>
    <row r="4" spans="1:80" s="70" customFormat="1" ht="21" customHeight="1" thickBot="1" x14ac:dyDescent="0.35">
      <c r="B4" s="240"/>
      <c r="C4" s="363" t="s">
        <v>12</v>
      </c>
      <c r="D4" s="363"/>
      <c r="E4" s="364" t="str">
        <f>IFERROR(IF('إدخال البيانات'!A9&lt;&gt;"",'إدخال البيانات'!A9,VLOOKUP(VLOOKUP($E$1,ورقة2!A3:V9887,10,0),'إدخال البيانات'!S4:T9,2,0)),"")</f>
        <v/>
      </c>
      <c r="F4" s="364"/>
      <c r="G4" s="364"/>
      <c r="H4" s="363" t="s">
        <v>13</v>
      </c>
      <c r="I4" s="363"/>
      <c r="J4" s="363"/>
      <c r="K4" s="186"/>
      <c r="L4" s="392" t="str">
        <f>IFERROR(IF('إدخال البيانات'!B9&lt;&gt;"",'إدخال البيانات'!B9,VLOOKUP(VLOOKUP($E$1,ورقة2!A3:V9887,11,0),'إدخال البيانات'!AA3:AB74,2,0)),"")</f>
        <v/>
      </c>
      <c r="M4" s="392"/>
      <c r="N4" s="392"/>
      <c r="O4" s="365" t="s">
        <v>14</v>
      </c>
      <c r="P4" s="365"/>
      <c r="Q4" s="392" t="str">
        <f>IFERROR(IF('إدخال البيانات'!C9&lt;&gt;"",'إدخال البيانات'!C9,VLOOKUP(VLOOKUP($E$1,ورقة2!A3:V9887,12,0),'إدخال البيانات'!L4:M19,2,0)),"")</f>
        <v/>
      </c>
      <c r="R4" s="392"/>
      <c r="S4" s="392"/>
      <c r="T4" s="392"/>
      <c r="U4" s="365" t="s">
        <v>61</v>
      </c>
      <c r="V4" s="365"/>
      <c r="W4" s="187">
        <f>'إدخال البيانات'!E7</f>
        <v>0</v>
      </c>
      <c r="X4" s="365" t="s">
        <v>62</v>
      </c>
      <c r="Y4" s="365"/>
      <c r="Z4" s="365"/>
      <c r="AA4" s="185"/>
      <c r="AB4" s="395">
        <f>'إدخال البيانات'!D7</f>
        <v>0</v>
      </c>
      <c r="AC4" s="395"/>
      <c r="AD4" s="181" t="s">
        <v>54</v>
      </c>
      <c r="AE4" s="364">
        <f>'إدخال البيانات'!F7</f>
        <v>0</v>
      </c>
      <c r="AF4" s="364"/>
      <c r="AG4" s="364"/>
      <c r="AH4" s="255"/>
      <c r="AI4" s="255"/>
      <c r="AJ4" s="256"/>
      <c r="AK4" s="134"/>
      <c r="AM4" s="85"/>
      <c r="AO4" s="174" t="s">
        <v>56</v>
      </c>
      <c r="AU4" s="34"/>
      <c r="AV4" s="34"/>
      <c r="AW4" s="34"/>
      <c r="AX4" s="34"/>
      <c r="AY4" s="34"/>
      <c r="AZ4" s="34"/>
      <c r="BA4" s="34"/>
      <c r="BB4" s="34"/>
      <c r="BC4" s="34" t="s">
        <v>82</v>
      </c>
      <c r="BD4" s="34"/>
      <c r="BE4" s="34"/>
      <c r="BF4" s="34"/>
      <c r="BG4" s="34"/>
      <c r="BH4" s="34"/>
      <c r="BI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</row>
    <row r="5" spans="1:80" s="70" customFormat="1" ht="21" customHeight="1" thickTop="1" thickBot="1" x14ac:dyDescent="0.35">
      <c r="B5" s="188"/>
      <c r="C5" s="386" t="s">
        <v>67</v>
      </c>
      <c r="D5" s="386"/>
      <c r="E5" s="386"/>
      <c r="F5" s="366"/>
      <c r="G5" s="366"/>
      <c r="H5" s="366"/>
      <c r="I5" s="366"/>
      <c r="J5" s="366"/>
      <c r="K5" s="366"/>
      <c r="L5" s="366"/>
      <c r="M5" s="366"/>
      <c r="N5" s="366"/>
      <c r="O5" s="365" t="s">
        <v>223</v>
      </c>
      <c r="P5" s="365"/>
      <c r="Q5" s="366"/>
      <c r="R5" s="366"/>
      <c r="S5" s="366"/>
      <c r="T5" s="366"/>
      <c r="U5" s="365" t="s">
        <v>0</v>
      </c>
      <c r="V5" s="365"/>
      <c r="W5" s="266"/>
      <c r="X5" s="365" t="s">
        <v>224</v>
      </c>
      <c r="Y5" s="365"/>
      <c r="Z5" s="365"/>
      <c r="AA5" s="185"/>
      <c r="AB5" s="410"/>
      <c r="AC5" s="410"/>
      <c r="AD5" s="189"/>
      <c r="AE5" s="190"/>
      <c r="AF5" s="190"/>
      <c r="AG5" s="190"/>
      <c r="AH5" s="257"/>
      <c r="AI5" s="257"/>
      <c r="AJ5" s="254"/>
      <c r="AK5" s="134"/>
      <c r="AL5" s="86"/>
      <c r="AO5" s="173" t="s">
        <v>220</v>
      </c>
      <c r="AU5" s="34">
        <v>1</v>
      </c>
      <c r="AV5" s="34">
        <v>41</v>
      </c>
      <c r="AW5" s="34" t="s">
        <v>110</v>
      </c>
      <c r="AX5" s="34">
        <f t="shared" ref="AX5:AY11" si="0">H8</f>
        <v>0</v>
      </c>
      <c r="AY5" s="34" t="e">
        <f t="shared" si="0"/>
        <v>#N/A</v>
      </c>
      <c r="AZ5" s="34"/>
      <c r="BA5" s="34"/>
      <c r="BB5" s="34"/>
      <c r="BC5" s="34" t="s">
        <v>83</v>
      </c>
      <c r="BD5" s="34"/>
      <c r="BE5" s="34"/>
      <c r="BF5" s="34" t="s">
        <v>153</v>
      </c>
      <c r="BG5" s="34"/>
      <c r="BH5" s="34"/>
      <c r="BI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</row>
    <row r="6" spans="1:80" ht="43.5" customHeight="1" thickBot="1" x14ac:dyDescent="0.35">
      <c r="B6" s="389" t="e">
        <f>IF(E2="مستنفذ","استنفذت فرص التسجيل في برنامج الدراسات القانونية بسبب رسوبك لمدة ثلاث سنوات متتالية","مقررات السنة الأولى")</f>
        <v>#N/A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90"/>
      <c r="R6" s="99"/>
      <c r="S6" s="242"/>
      <c r="T6" s="387" t="str">
        <f>IF(E1&lt;&gt;"","مقررات السنة الثالثة","لايحق لك تعديل الاستمارة بعد تثبيت التسجيل تحت طائلة إلغاء التسجيل")</f>
        <v>مقررات السنة الثالثة</v>
      </c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258"/>
      <c r="AI6" s="258"/>
      <c r="AJ6" s="258"/>
      <c r="AK6" s="259"/>
      <c r="AL6" s="85"/>
      <c r="AN6" s="70"/>
      <c r="AO6" s="173" t="s">
        <v>221</v>
      </c>
      <c r="AU6" s="34">
        <v>2</v>
      </c>
      <c r="AV6" s="34">
        <v>42</v>
      </c>
      <c r="AW6" s="34" t="s">
        <v>111</v>
      </c>
      <c r="AX6" s="34">
        <f t="shared" si="0"/>
        <v>0</v>
      </c>
      <c r="AY6" s="34" t="e">
        <f t="shared" si="0"/>
        <v>#N/A</v>
      </c>
      <c r="BF6" s="34" t="s">
        <v>157</v>
      </c>
      <c r="BG6" s="177">
        <v>141</v>
      </c>
    </row>
    <row r="7" spans="1:80" ht="23.25" customHeight="1" thickBot="1" x14ac:dyDescent="0.35">
      <c r="B7" s="370" t="s">
        <v>17</v>
      </c>
      <c r="C7" s="370"/>
      <c r="D7" s="370"/>
      <c r="E7" s="370"/>
      <c r="F7" s="370"/>
      <c r="G7" s="370"/>
      <c r="H7" s="371"/>
      <c r="I7" s="100"/>
      <c r="J7" s="114"/>
      <c r="K7" s="239"/>
      <c r="L7" s="369" t="s">
        <v>18</v>
      </c>
      <c r="M7" s="370"/>
      <c r="N7" s="370"/>
      <c r="O7" s="370"/>
      <c r="P7" s="371"/>
      <c r="Q7" s="100"/>
      <c r="R7" s="101"/>
      <c r="S7" s="102"/>
      <c r="T7" s="372" t="s">
        <v>19</v>
      </c>
      <c r="U7" s="373"/>
      <c r="V7" s="373"/>
      <c r="W7" s="373"/>
      <c r="X7" s="374"/>
      <c r="Y7" s="144"/>
      <c r="Z7" s="114"/>
      <c r="AA7" s="103"/>
      <c r="AB7" s="372" t="s">
        <v>18</v>
      </c>
      <c r="AC7" s="373"/>
      <c r="AD7" s="373"/>
      <c r="AE7" s="373"/>
      <c r="AF7" s="374"/>
      <c r="AG7" s="249"/>
      <c r="AH7" s="258"/>
      <c r="AI7" s="258"/>
      <c r="AJ7" s="258"/>
      <c r="AK7" s="259"/>
      <c r="AL7" s="70"/>
      <c r="AN7" s="70"/>
      <c r="AO7" s="173" t="s">
        <v>70</v>
      </c>
      <c r="AU7" s="34">
        <v>3</v>
      </c>
      <c r="AV7" s="34">
        <v>43</v>
      </c>
      <c r="AW7" s="34" t="s">
        <v>112</v>
      </c>
      <c r="AX7" s="34">
        <f t="shared" si="0"/>
        <v>0</v>
      </c>
      <c r="AY7" s="34" t="e">
        <f t="shared" si="0"/>
        <v>#N/A</v>
      </c>
      <c r="BF7" s="34" t="s">
        <v>155</v>
      </c>
      <c r="BG7" s="177">
        <v>143</v>
      </c>
    </row>
    <row r="8" spans="1:80" ht="26.25" customHeight="1" thickBot="1" x14ac:dyDescent="0.35">
      <c r="A8" s="49" t="e">
        <f>IF(AND(I8&lt;&gt;"",OR(H8=1,H8=2,H8=3)),1,"")</f>
        <v>#N/A</v>
      </c>
      <c r="B8" s="104" t="e">
        <f>IF(OR(I8="ج",I8="ر1",I8="ر2"),IF(H8=1,IF(OR($F$5=$AO$8,$F$5=$AO$9),0,IF(OR($F$5=$AO$1,F5=$AO$2,$F$5=$AO$5,$F$5=$AO$6),IF(I8="ج",5600,IF(I8="ر1",7200,IF(I8="ر2",8800,""))),IF(OR($F$5=$AO$3,$F$5=$AO$7),IF(I8="ج",3500,IF(I8="ر1",4500,IF(I8="ر2",5500,""))),IF($F$5=$AO$4,500,IF(I8="ج",7000,IF(I8="ر1",9000,IF(I8="ر2",11000,"")))))))))</f>
        <v>#N/A</v>
      </c>
      <c r="C8" s="44">
        <v>41</v>
      </c>
      <c r="D8" s="376" t="s">
        <v>110</v>
      </c>
      <c r="E8" s="377"/>
      <c r="F8" s="377"/>
      <c r="G8" s="377"/>
      <c r="H8" s="263"/>
      <c r="I8" s="166" t="e">
        <f>IF(VLOOKUP($E$1,ورقة4!$A$2:$BA$15000,3,0)=0,"",(VLOOKUP($E$1,ورقة4!$A$2:$BA$15000,3,0)))</f>
        <v>#N/A</v>
      </c>
      <c r="J8" s="115" t="e">
        <f>IF(AND(Q8&lt;&gt;"",OR(P8=1,P8=2,P8=3)),8,"")</f>
        <v>#N/A</v>
      </c>
      <c r="K8" s="104" t="e">
        <f t="shared" ref="K8:K13" si="1">IF(OR(Q8="ج",Q8="ر1",Q8="ر2"),IF(P8=1,IF(OR($F$5=$AO$8,$F$5=$AO$9),0,IF(OR($F$5=$AO$1,$F$5=$AO$2,$F$5=$AO$5,$F$5=$AO$6),IF(Q8="ج",5600,IF(Q8="ر1",7200,IF(Q8="ر2",8800,""))),IF(OR($F$5=$AO$3,$F$5=$AO$7),IF(Q8="ج",3500,IF(Q8="ر1",4500,IF(Q8="ر2",5500,""))),IF($F$5=$AO$4,500,IF(Q8="ج",7000,IF(Q8="ر1",9000,IF(Q8="ر2",11000,"")))))))))</f>
        <v>#N/A</v>
      </c>
      <c r="L8" s="44">
        <v>47</v>
      </c>
      <c r="M8" s="378" t="s">
        <v>116</v>
      </c>
      <c r="N8" s="379"/>
      <c r="O8" s="379"/>
      <c r="P8" s="263"/>
      <c r="Q8" s="167" t="e">
        <f>IF(VLOOKUP($E$1,ورقة4!$A$2:$BA$15000,10,0)=0,"",(VLOOKUP($E$1,ورقة4!$A$2:$BA$15000,10,0)))</f>
        <v>#N/A</v>
      </c>
      <c r="R8" s="101" t="e">
        <f>IF(AND(Y8&lt;&gt;"",OR(X8=1,X8=2,X8=3)),27,"")</f>
        <v>#N/A</v>
      </c>
      <c r="S8" s="104" t="e">
        <f t="shared" ref="S8:S13" si="2">IF(OR(Y8="ج",Y8="ر1",Y8="ر2"),IF(X8=1,IF(OR($F$5=$AO$8,$F$5=$AO$9),0,IF(OR($F$5=$AO$1,$F$5=$AO$2,$F$5=$AO$5,$F$5=$AO$6),IF(Y8="ج",5600,IF(Y8="ر1",7200,IF(Y8="ر2",8800,""))),IF(OR($F$5=$AO$3,$F$5=$AO$7),IF(Y8="ج",3500,IF(Y8="ر1",4500,IF(Y8="ر2",5500,""))),IF($F$5=$AO$4,500,IF(Y8="ج",7000,IF(Y8="ر1",9000,IF(Y8="ر2",11000,"")))))))))</f>
        <v>#N/A</v>
      </c>
      <c r="T8" s="158">
        <v>63</v>
      </c>
      <c r="U8" s="382" t="s">
        <v>130</v>
      </c>
      <c r="V8" s="383"/>
      <c r="W8" s="383"/>
      <c r="X8" s="263"/>
      <c r="Y8" s="166" t="e">
        <f>IF(VLOOKUP($E$1,ورقة4!$A$2:$BA$15000,29,0)=0,"",(VLOOKUP($E$1,ورقة4!$A$2:$BA$15000,29,0)))</f>
        <v>#N/A</v>
      </c>
      <c r="Z8" s="115" t="e">
        <f>IF(AND(AG8&lt;&gt;"",OR(AF8=1,AF8=2,AF8=3)),33,"")</f>
        <v>#N/A</v>
      </c>
      <c r="AA8" s="104" t="e">
        <f t="shared" ref="AA8:AA13" si="3">IF(OR(AG8="ج",AG8="ر1",AG8="ر2"),IF(AF8=1,IF(OR($F$5=$AO$8,$F$5=$AO$9),0,IF(OR($F$5=$AO$1,$F$5=$AO$2,$F$5=$AO$5,$F$5=$AO$6),IF(AG8="ج",5600,IF(AG8="ر1",7200,IF(AG8="ر2",8800,""))),IF(OR($F$5=$AO$3,$F$5=$AO$7),IF(AG8="ج",3500,IF(AG8="ر1",4500,IF(AG8="ر2",5500,""))),IF($F$5=$AO$4,500,IF(AG8="ج",7000,IF(AG8="ر1",9000,IF(AG8="ر2",11000,"")))))))))</f>
        <v>#N/A</v>
      </c>
      <c r="AB8" s="158">
        <v>69</v>
      </c>
      <c r="AC8" s="384" t="s">
        <v>136</v>
      </c>
      <c r="AD8" s="385"/>
      <c r="AE8" s="385"/>
      <c r="AF8" s="263"/>
      <c r="AG8" s="250" t="e">
        <f>IF(VLOOKUP($E$1,ورقة4!$A$2:$BA$15000,35,0)=0,"",(VLOOKUP($E$1,ورقة4!$A$2:$BA$15000,35,0)))</f>
        <v>#N/A</v>
      </c>
      <c r="AH8" s="135"/>
      <c r="AI8" s="135"/>
      <c r="AJ8" s="135"/>
      <c r="AK8" s="259"/>
      <c r="AL8" s="85" t="e">
        <f t="shared" ref="AL8:AL14" si="4">IF(A8&lt;&gt;"",A8,"")</f>
        <v>#N/A</v>
      </c>
      <c r="AM8" s="1">
        <v>1</v>
      </c>
      <c r="AN8" s="70"/>
      <c r="AO8" s="175" t="s">
        <v>8</v>
      </c>
      <c r="AU8" s="34">
        <v>4</v>
      </c>
      <c r="AV8" s="34">
        <v>44</v>
      </c>
      <c r="AW8" s="34" t="s">
        <v>113</v>
      </c>
      <c r="AX8" s="34">
        <f t="shared" si="0"/>
        <v>0</v>
      </c>
      <c r="AY8" s="34" t="e">
        <f t="shared" si="0"/>
        <v>#N/A</v>
      </c>
      <c r="BF8" s="34" t="s">
        <v>158</v>
      </c>
      <c r="BG8" s="177">
        <v>144</v>
      </c>
    </row>
    <row r="9" spans="1:80" ht="26.25" customHeight="1" thickTop="1" thickBot="1" x14ac:dyDescent="0.35">
      <c r="A9" s="49" t="e">
        <f>IF(AND(I9&lt;&gt;"",OR(H9=1,H9=2,H9=3)),2,"")</f>
        <v>#N/A</v>
      </c>
      <c r="B9" s="104" t="e">
        <f t="shared" ref="B9:B14" si="5">IF(OR(I9="ج",I9="ر1",I9="ر2"),IF(H9=1,IF(OR($F$5=$AO$8,$F$5=$AO$9),0,IF(OR($F$5=$AO$1,$F$5=$AO$2,$F$5=$AO$5,$F$5=$AO$6),IF(I9="ج",5600,IF(I9="ر1",7200,IF(I9="ر2",8800,""))),IF(OR($F$5=$AO$3,$F$5=$AO$7),IF(I9="ج",3500,IF(I9="ر1",4500,IF(I9="ر2",5500,""))),IF($F$5=$AO$4,500,IF(I9="ج",7000,IF(I9="ر1",9000,IF(I9="ر2",11000,"")))))))))</f>
        <v>#N/A</v>
      </c>
      <c r="C9" s="45">
        <v>42</v>
      </c>
      <c r="D9" s="380" t="s">
        <v>111</v>
      </c>
      <c r="E9" s="381"/>
      <c r="F9" s="381"/>
      <c r="G9" s="381"/>
      <c r="H9" s="264"/>
      <c r="I9" s="166" t="e">
        <f>IF(VLOOKUP($E$1,ورقة4!$A$2:$BA$15000,4,0)=0,"",(VLOOKUP($E$1,ورقة4!$A$2:$BA$15000,4,0)))</f>
        <v>#N/A</v>
      </c>
      <c r="J9" s="115" t="e">
        <f>IF(AND(Q9&lt;&gt;"",OR(P9=1,P9=2,P9=3)),9,"")</f>
        <v>#N/A</v>
      </c>
      <c r="K9" s="104" t="e">
        <f t="shared" si="1"/>
        <v>#N/A</v>
      </c>
      <c r="L9" s="45">
        <v>48</v>
      </c>
      <c r="M9" s="380" t="s">
        <v>117</v>
      </c>
      <c r="N9" s="381"/>
      <c r="O9" s="381"/>
      <c r="P9" s="264"/>
      <c r="Q9" s="168" t="e">
        <f>IF(VLOOKUP($E$1,ورقة4!$A$2:$BA$15000,11,0)=0,"",(VLOOKUP($E$1,ورقة4!$A$2:$BA$15000,11,0)))</f>
        <v>#N/A</v>
      </c>
      <c r="R9" s="101" t="e">
        <f>IF(AND(Y9&lt;&gt;"",OR(X9=1,X9=2,X9=3)),28,"")</f>
        <v>#N/A</v>
      </c>
      <c r="S9" s="104" t="e">
        <f t="shared" si="2"/>
        <v>#N/A</v>
      </c>
      <c r="T9" s="159">
        <v>64</v>
      </c>
      <c r="U9" s="399" t="s">
        <v>131</v>
      </c>
      <c r="V9" s="400"/>
      <c r="W9" s="400"/>
      <c r="X9" s="264"/>
      <c r="Y9" s="166" t="e">
        <f>IF(VLOOKUP($E$1,ورقة4!$A$2:$BA$15000,30,0)=0,"",(VLOOKUP($E$1,ورقة4!$A$2:$BA$15000,30,0)))</f>
        <v>#N/A</v>
      </c>
      <c r="Z9" s="115" t="e">
        <f>IF(AND(AG9&lt;&gt;"",OR(AF9=1,AF9=2,AF9=3)),34,"")</f>
        <v>#N/A</v>
      </c>
      <c r="AA9" s="104" t="e">
        <f t="shared" si="3"/>
        <v>#N/A</v>
      </c>
      <c r="AB9" s="159">
        <v>70</v>
      </c>
      <c r="AC9" s="403" t="s">
        <v>137</v>
      </c>
      <c r="AD9" s="404"/>
      <c r="AE9" s="404"/>
      <c r="AF9" s="264"/>
      <c r="AG9" s="250" t="e">
        <f>IF(VLOOKUP($E$1,ورقة4!$A$2:$BA$15000,36,0)=0,"",(VLOOKUP($E$1,ورقة4!$A$2:$BA$15000,36,0)))</f>
        <v>#N/A</v>
      </c>
      <c r="AH9" s="397"/>
      <c r="AI9" s="397"/>
      <c r="AJ9" s="397"/>
      <c r="AK9" s="259"/>
      <c r="AL9" s="85" t="e">
        <f t="shared" si="4"/>
        <v>#N/A</v>
      </c>
      <c r="AM9" s="1">
        <v>2</v>
      </c>
      <c r="AO9" s="176" t="s">
        <v>15</v>
      </c>
      <c r="AU9" s="34">
        <v>5</v>
      </c>
      <c r="AV9" s="34">
        <v>45</v>
      </c>
      <c r="AW9" s="34" t="s">
        <v>114</v>
      </c>
      <c r="AX9" s="34">
        <f t="shared" si="0"/>
        <v>0</v>
      </c>
      <c r="AY9" s="34" t="e">
        <f t="shared" si="0"/>
        <v>#N/A</v>
      </c>
      <c r="BF9" s="34" t="s">
        <v>159</v>
      </c>
      <c r="BG9" s="177">
        <v>146</v>
      </c>
    </row>
    <row r="10" spans="1:80" ht="26.25" customHeight="1" thickTop="1" thickBot="1" x14ac:dyDescent="0.35">
      <c r="A10" s="49" t="e">
        <f>IF(AND(I10&lt;&gt;"",OR(H10=1,H10=2,H10=3)),3,"")</f>
        <v>#N/A</v>
      </c>
      <c r="B10" s="104" t="e">
        <f t="shared" si="5"/>
        <v>#N/A</v>
      </c>
      <c r="C10" s="45">
        <v>43</v>
      </c>
      <c r="D10" s="380" t="s">
        <v>112</v>
      </c>
      <c r="E10" s="381"/>
      <c r="F10" s="381"/>
      <c r="G10" s="381"/>
      <c r="H10" s="264"/>
      <c r="I10" s="166" t="e">
        <f>IF(VLOOKUP($E$1,ورقة4!$A$2:$BA$15000,5,0)=0,"",(VLOOKUP($E$1,ورقة4!$A$2:$BA$15000,5,0)))</f>
        <v>#N/A</v>
      </c>
      <c r="J10" s="115" t="e">
        <f>IF(AND(Q10&lt;&gt;"",OR(P10=1,P10=2,P10=3)),10,"")</f>
        <v>#N/A</v>
      </c>
      <c r="K10" s="104" t="e">
        <f t="shared" si="1"/>
        <v>#N/A</v>
      </c>
      <c r="L10" s="45">
        <v>49</v>
      </c>
      <c r="M10" s="380" t="s">
        <v>118</v>
      </c>
      <c r="N10" s="381"/>
      <c r="O10" s="381"/>
      <c r="P10" s="264"/>
      <c r="Q10" s="168" t="e">
        <f>IF(VLOOKUP($E$1,ورقة4!$A$2:$BA$15000,12,0)=0,"",(VLOOKUP($E$1,ورقة4!$A$2:$BA$15000,12,0)))</f>
        <v>#N/A</v>
      </c>
      <c r="R10" s="101" t="e">
        <f>IF(AND(Y10&lt;&gt;"",OR(X10=1,X10=2,X10=3)),29,"")</f>
        <v>#N/A</v>
      </c>
      <c r="S10" s="104" t="e">
        <f t="shared" si="2"/>
        <v>#N/A</v>
      </c>
      <c r="T10" s="159">
        <v>65</v>
      </c>
      <c r="U10" s="420" t="s">
        <v>132</v>
      </c>
      <c r="V10" s="381"/>
      <c r="W10" s="381"/>
      <c r="X10" s="264"/>
      <c r="Y10" s="166" t="e">
        <f>IF(VLOOKUP($E$1,ورقة4!$A$2:$BA$15000,31,0)=0,"",(VLOOKUP($E$1,ورقة4!$A$2:$BA$15000,31,0)))</f>
        <v>#N/A</v>
      </c>
      <c r="Z10" s="115" t="e">
        <f>IF(AND(AG10&lt;&gt;"",OR(AF10=1,AF10=2,AF10=3)),35,"")</f>
        <v>#N/A</v>
      </c>
      <c r="AA10" s="104" t="e">
        <f t="shared" si="3"/>
        <v>#N/A</v>
      </c>
      <c r="AB10" s="159">
        <v>71</v>
      </c>
      <c r="AC10" s="367" t="s">
        <v>138</v>
      </c>
      <c r="AD10" s="368"/>
      <c r="AE10" s="368"/>
      <c r="AF10" s="264"/>
      <c r="AG10" s="250" t="e">
        <f>IF(VLOOKUP($E$1,ورقة4!$A$2:$BA$15000,37,0)=0,"",(VLOOKUP($E$1,ورقة4!$A$2:$BA$15000,37,0)))</f>
        <v>#N/A</v>
      </c>
      <c r="AH10" s="398"/>
      <c r="AI10" s="398"/>
      <c r="AJ10" s="398"/>
      <c r="AK10" s="259"/>
      <c r="AL10" s="85" t="e">
        <f t="shared" si="4"/>
        <v>#N/A</v>
      </c>
      <c r="AM10" s="1">
        <v>3</v>
      </c>
      <c r="AU10" s="34">
        <v>6</v>
      </c>
      <c r="AV10" s="34">
        <v>46</v>
      </c>
      <c r="AW10" s="34" t="s">
        <v>115</v>
      </c>
      <c r="AX10" s="34">
        <f t="shared" si="0"/>
        <v>0</v>
      </c>
      <c r="AY10" s="34" t="e">
        <f t="shared" si="0"/>
        <v>#N/A</v>
      </c>
      <c r="BF10" s="34" t="s">
        <v>156</v>
      </c>
      <c r="BG10" s="177">
        <v>147</v>
      </c>
    </row>
    <row r="11" spans="1:80" ht="26.25" customHeight="1" thickTop="1" thickBot="1" x14ac:dyDescent="0.35">
      <c r="A11" s="49" t="e">
        <f>IF(AND(I11&lt;&gt;"",OR(H11=1,H11=2,H11=3)),4,"")</f>
        <v>#N/A</v>
      </c>
      <c r="B11" s="104" t="e">
        <f t="shared" si="5"/>
        <v>#N/A</v>
      </c>
      <c r="C11" s="45">
        <v>44</v>
      </c>
      <c r="D11" s="380" t="s">
        <v>113</v>
      </c>
      <c r="E11" s="381"/>
      <c r="F11" s="381"/>
      <c r="G11" s="381"/>
      <c r="H11" s="264"/>
      <c r="I11" s="166" t="e">
        <f>IF(VLOOKUP($E$1,ورقة4!$A$2:$BA$15000,6,0)=0,"",(VLOOKUP($E$1,ورقة4!$A$2:$BA$15000,6,0)))</f>
        <v>#N/A</v>
      </c>
      <c r="J11" s="115" t="e">
        <f>IF(AND(Q11&lt;&gt;"",OR(P11=1,P11=2,P11=3)),11,"")</f>
        <v>#N/A</v>
      </c>
      <c r="K11" s="104" t="e">
        <f t="shared" si="1"/>
        <v>#N/A</v>
      </c>
      <c r="L11" s="45">
        <v>50</v>
      </c>
      <c r="M11" s="380" t="s">
        <v>119</v>
      </c>
      <c r="N11" s="381"/>
      <c r="O11" s="381"/>
      <c r="P11" s="264"/>
      <c r="Q11" s="168" t="e">
        <f>IF(VLOOKUP($E$1,ورقة4!$A$2:$BA$15000,13,0)=0,"",(VLOOKUP($E$1,ورقة4!$A$2:$BA$15000,13,0)))</f>
        <v>#N/A</v>
      </c>
      <c r="R11" s="101" t="e">
        <f>IF(AND(Y11&lt;&gt;"",OR(X11=1,X11=2,X11=3)),30,"")</f>
        <v>#N/A</v>
      </c>
      <c r="S11" s="104" t="e">
        <f t="shared" si="2"/>
        <v>#N/A</v>
      </c>
      <c r="T11" s="159">
        <v>66</v>
      </c>
      <c r="U11" s="399" t="s">
        <v>133</v>
      </c>
      <c r="V11" s="400"/>
      <c r="W11" s="400"/>
      <c r="X11" s="264"/>
      <c r="Y11" s="166" t="e">
        <f>IF(VLOOKUP($E$1,ورقة4!$A$2:$BA$15000,32,0)=0,"",(VLOOKUP($E$1,ورقة4!$A$2:$BA$15000,32,0)))</f>
        <v>#N/A</v>
      </c>
      <c r="Z11" s="115" t="e">
        <f>IF(AND(AG11&lt;&gt;"",OR(AF11=1,AF11=2,AF11=3)),36,"")</f>
        <v>#N/A</v>
      </c>
      <c r="AA11" s="104" t="e">
        <f t="shared" si="3"/>
        <v>#N/A</v>
      </c>
      <c r="AB11" s="159">
        <v>72</v>
      </c>
      <c r="AC11" s="403" t="s">
        <v>139</v>
      </c>
      <c r="AD11" s="404"/>
      <c r="AE11" s="404"/>
      <c r="AF11" s="264"/>
      <c r="AG11" s="250" t="e">
        <f>IF(VLOOKUP($E$1,ورقة4!$A$2:$BA$15000,38,0)=0,"",(VLOOKUP($E$1,ورقة4!$A$2:$BA$15000,38,0)))</f>
        <v>#N/A</v>
      </c>
      <c r="AH11" s="398"/>
      <c r="AI11" s="398"/>
      <c r="AJ11" s="398"/>
      <c r="AK11" s="259"/>
      <c r="AL11" s="85" t="e">
        <f t="shared" si="4"/>
        <v>#N/A</v>
      </c>
      <c r="AM11" s="1">
        <v>4</v>
      </c>
      <c r="AU11" s="34">
        <v>7</v>
      </c>
      <c r="AV11" s="34">
        <v>101</v>
      </c>
      <c r="AW11" s="34" t="s">
        <v>179</v>
      </c>
      <c r="AX11" s="34">
        <f t="shared" si="0"/>
        <v>0</v>
      </c>
      <c r="AY11" s="34" t="e">
        <f t="shared" si="0"/>
        <v>#N/A</v>
      </c>
      <c r="BF11" s="34" t="s">
        <v>154</v>
      </c>
      <c r="BG11" s="177">
        <v>148</v>
      </c>
    </row>
    <row r="12" spans="1:80" ht="26.25" customHeight="1" thickTop="1" thickBot="1" x14ac:dyDescent="0.35">
      <c r="A12" s="49" t="e">
        <f>IF(AND(I12&lt;&gt;"",OR(H12=1,H12=2,H12=3)),5,"")</f>
        <v>#N/A</v>
      </c>
      <c r="B12" s="104" t="e">
        <f t="shared" si="5"/>
        <v>#N/A</v>
      </c>
      <c r="C12" s="45">
        <v>45</v>
      </c>
      <c r="D12" s="380" t="s">
        <v>114</v>
      </c>
      <c r="E12" s="381"/>
      <c r="F12" s="381"/>
      <c r="G12" s="381"/>
      <c r="H12" s="264"/>
      <c r="I12" s="166" t="e">
        <f>IF(VLOOKUP($E$1,ورقة4!$A$2:$BA$15000,7,0)=0,"",(VLOOKUP($E$1,ورقة4!$A$2:$BA$15000,7,0)))</f>
        <v>#N/A</v>
      </c>
      <c r="J12" s="115" t="e">
        <f>IF(AND(Q12&lt;&gt;"",OR(P12=1,P12=2,P12=3)),12,"")</f>
        <v>#N/A</v>
      </c>
      <c r="K12" s="104" t="e">
        <f t="shared" si="1"/>
        <v>#N/A</v>
      </c>
      <c r="L12" s="45">
        <v>51</v>
      </c>
      <c r="M12" s="380" t="s">
        <v>151</v>
      </c>
      <c r="N12" s="381"/>
      <c r="O12" s="381"/>
      <c r="P12" s="264"/>
      <c r="Q12" s="168" t="e">
        <f>IF(VLOOKUP($E$1,ورقة4!$A$2:$BA$15000,14,0)=0,"",(VLOOKUP($E$1,ورقة4!$A$2:$BA$15000,14,0)))</f>
        <v>#N/A</v>
      </c>
      <c r="R12" s="101" t="e">
        <f>IF(AND(Y12&lt;&gt;"",OR(X12=1,X12=2,X12=3)),31,"")</f>
        <v>#N/A</v>
      </c>
      <c r="S12" s="104" t="e">
        <f t="shared" si="2"/>
        <v>#N/A</v>
      </c>
      <c r="T12" s="159">
        <v>67</v>
      </c>
      <c r="U12" s="399" t="s">
        <v>134</v>
      </c>
      <c r="V12" s="400"/>
      <c r="W12" s="400"/>
      <c r="X12" s="264"/>
      <c r="Y12" s="166" t="e">
        <f>IF(VLOOKUP($E$1,ورقة4!$A$2:$BA$15000,33,0)=0,"",(VLOOKUP($E$1,ورقة4!$A$2:$BA$15000,33,0)))</f>
        <v>#N/A</v>
      </c>
      <c r="Z12" s="115" t="e">
        <f>IF(AND(AG12&lt;&gt;"",OR(AF12=1,AF12=2,AF12=3)),37,"")</f>
        <v>#N/A</v>
      </c>
      <c r="AA12" s="104" t="e">
        <f t="shared" si="3"/>
        <v>#N/A</v>
      </c>
      <c r="AB12" s="159">
        <v>73</v>
      </c>
      <c r="AC12" s="403" t="s">
        <v>120</v>
      </c>
      <c r="AD12" s="404"/>
      <c r="AE12" s="404"/>
      <c r="AF12" s="264"/>
      <c r="AG12" s="250" t="e">
        <f>IF(VLOOKUP($E$1,ورقة4!$A$2:$BA$15000,39,0)=0,"",(VLOOKUP($E$1,ورقة4!$A$2:$BA$15000,39,0)))</f>
        <v>#N/A</v>
      </c>
      <c r="AH12" s="405"/>
      <c r="AI12" s="405"/>
      <c r="AJ12" s="405"/>
      <c r="AK12" s="259"/>
      <c r="AL12" s="85" t="e">
        <f t="shared" si="4"/>
        <v>#N/A</v>
      </c>
      <c r="AM12" s="1">
        <v>5</v>
      </c>
      <c r="AU12" s="34">
        <v>8</v>
      </c>
      <c r="AV12" s="34">
        <v>47</v>
      </c>
      <c r="AW12" s="34" t="s">
        <v>116</v>
      </c>
      <c r="AX12" s="34">
        <f t="shared" ref="AX12:AY17" si="6">P8</f>
        <v>0</v>
      </c>
      <c r="AY12" s="34" t="e">
        <f t="shared" si="6"/>
        <v>#N/A</v>
      </c>
      <c r="BF12" s="34" t="s">
        <v>153</v>
      </c>
    </row>
    <row r="13" spans="1:80" ht="26.25" customHeight="1" thickTop="1" thickBot="1" x14ac:dyDescent="0.35">
      <c r="A13" s="49" t="e">
        <f>IF(AND(I13&lt;&gt;"",OR(H13=1,H13=2,H13=3)),6,"")</f>
        <v>#N/A</v>
      </c>
      <c r="B13" s="104" t="e">
        <f t="shared" si="5"/>
        <v>#N/A</v>
      </c>
      <c r="C13" s="45">
        <v>46</v>
      </c>
      <c r="D13" s="380" t="s">
        <v>115</v>
      </c>
      <c r="E13" s="381"/>
      <c r="F13" s="381"/>
      <c r="G13" s="381"/>
      <c r="H13" s="264"/>
      <c r="I13" s="166" t="e">
        <f>IF(VLOOKUP($E$1,ورقة4!$A$2:$BA$15000,8,0)=0,"",(VLOOKUP($E$1,ورقة4!$A$2:$BA$15000,8,0)))</f>
        <v>#N/A</v>
      </c>
      <c r="J13" s="115" t="e">
        <f>IF(AND(Q13&lt;&gt;"",OR(P13=1,P13=2,P13=3)),13,"")</f>
        <v>#N/A</v>
      </c>
      <c r="K13" s="104" t="e">
        <f t="shared" si="1"/>
        <v>#N/A</v>
      </c>
      <c r="L13" s="45">
        <f>IFERROR(VLOOKUP(M13,$BF$5:$BG$34,2,0),"")</f>
        <v>0</v>
      </c>
      <c r="M13" s="418" t="s">
        <v>153</v>
      </c>
      <c r="N13" s="419"/>
      <c r="O13" s="419"/>
      <c r="P13" s="264"/>
      <c r="Q13" s="168" t="e">
        <f>IF(VLOOKUP($E$1,ورقة4!$A$2:$BA$15000,15,0)=0,"",(VLOOKUP($E$1,ورقة4!$A$2:$BA$15000,15,0)))</f>
        <v>#N/A</v>
      </c>
      <c r="R13" s="101" t="e">
        <f>IF(AND(Y13&lt;&gt;"",OR(X13=1,X13=2,X13=3)),32,"")</f>
        <v>#N/A</v>
      </c>
      <c r="S13" s="104" t="e">
        <f t="shared" si="2"/>
        <v>#N/A</v>
      </c>
      <c r="T13" s="160">
        <v>68</v>
      </c>
      <c r="U13" s="424" t="s">
        <v>135</v>
      </c>
      <c r="V13" s="425"/>
      <c r="W13" s="425"/>
      <c r="X13" s="264"/>
      <c r="Y13" s="166" t="e">
        <f>IF(VLOOKUP($E$1,ورقة4!$A$2:$BA$15000,34,0)=0,"",(VLOOKUP($E$1,ورقة4!$A$2:$BA$15000,34,0)))</f>
        <v>#N/A</v>
      </c>
      <c r="Z13" s="115" t="e">
        <f>IF(AND(AG13&lt;&gt;"",OR(AF13=1,AF13=2,AF13=3)),38,"")</f>
        <v>#N/A</v>
      </c>
      <c r="AA13" s="104" t="e">
        <f t="shared" si="3"/>
        <v>#N/A</v>
      </c>
      <c r="AB13" s="160">
        <f>IFERROR(VLOOKUP(AC13,$BF$5:$BG$34,2,0),"")</f>
        <v>0</v>
      </c>
      <c r="AC13" s="401" t="s">
        <v>153</v>
      </c>
      <c r="AD13" s="402"/>
      <c r="AE13" s="402"/>
      <c r="AF13" s="264"/>
      <c r="AG13" s="250" t="e">
        <f>IF(VLOOKUP($E$1,ورقة4!$A$2:$BA$15000,40,0)=0,"",(VLOOKUP($E$1,ورقة4!$A$2:$BA$15000,40,0)))</f>
        <v>#N/A</v>
      </c>
      <c r="AH13" s="405"/>
      <c r="AI13" s="405"/>
      <c r="AJ13" s="405"/>
      <c r="AK13" s="259"/>
      <c r="AL13" s="85" t="e">
        <f t="shared" si="4"/>
        <v>#N/A</v>
      </c>
      <c r="AM13" s="1">
        <v>6</v>
      </c>
      <c r="AU13" s="34">
        <v>9</v>
      </c>
      <c r="AV13" s="34">
        <v>48</v>
      </c>
      <c r="AW13" s="34" t="s">
        <v>117</v>
      </c>
      <c r="AX13" s="34">
        <f t="shared" si="6"/>
        <v>0</v>
      </c>
      <c r="AY13" s="34" t="e">
        <f t="shared" si="6"/>
        <v>#N/A</v>
      </c>
      <c r="BF13" s="34" t="s">
        <v>163</v>
      </c>
      <c r="BG13" s="177">
        <v>149</v>
      </c>
    </row>
    <row r="14" spans="1:80" ht="16.2" thickBot="1" x14ac:dyDescent="0.35">
      <c r="A14" s="49" t="e">
        <f>IF(AND(I14&lt;&gt;"",OR(H14=1,H14=2,H14=3)),7,"")</f>
        <v>#N/A</v>
      </c>
      <c r="B14" s="104" t="e">
        <f t="shared" si="5"/>
        <v>#N/A</v>
      </c>
      <c r="C14" s="162">
        <v>101</v>
      </c>
      <c r="D14" s="429" t="s">
        <v>152</v>
      </c>
      <c r="E14" s="430"/>
      <c r="F14" s="430"/>
      <c r="G14" s="430"/>
      <c r="H14" s="264"/>
      <c r="I14" s="166" t="e">
        <f>IF(VLOOKUP($E$1,ورقة4!$A$2:$BA$15000,9,0)=0,"",(VLOOKUP($E$1,ورقة4!$A$2:$BA$15000,9,0)))</f>
        <v>#N/A</v>
      </c>
      <c r="J14" s="115"/>
      <c r="K14" s="235"/>
      <c r="L14" s="152"/>
      <c r="M14" s="153"/>
      <c r="N14" s="153"/>
      <c r="O14" s="153"/>
      <c r="P14" s="265"/>
      <c r="Q14" s="237"/>
      <c r="R14" s="238"/>
      <c r="S14" s="235"/>
      <c r="T14" s="145"/>
      <c r="U14" s="146"/>
      <c r="V14" s="146"/>
      <c r="W14" s="146"/>
      <c r="X14" s="149"/>
      <c r="Y14" s="236"/>
      <c r="Z14" s="116"/>
      <c r="AA14" s="83"/>
      <c r="AB14" s="145"/>
      <c r="AC14" s="151"/>
      <c r="AD14" s="151"/>
      <c r="AE14" s="151"/>
      <c r="AF14" s="149"/>
      <c r="AG14" s="251"/>
      <c r="AH14" s="405"/>
      <c r="AI14" s="405"/>
      <c r="AJ14" s="405"/>
      <c r="AK14" s="259"/>
      <c r="AL14" s="85" t="e">
        <f t="shared" si="4"/>
        <v>#N/A</v>
      </c>
      <c r="AM14" s="1">
        <v>7</v>
      </c>
      <c r="AU14" s="34">
        <v>10</v>
      </c>
      <c r="AV14" s="34">
        <v>49</v>
      </c>
      <c r="AW14" s="34" t="s">
        <v>118</v>
      </c>
      <c r="AX14" s="34">
        <f t="shared" si="6"/>
        <v>0</v>
      </c>
      <c r="AY14" s="34" t="e">
        <f t="shared" si="6"/>
        <v>#N/A</v>
      </c>
      <c r="BF14" s="34" t="s">
        <v>160</v>
      </c>
      <c r="BG14" s="177">
        <v>151</v>
      </c>
    </row>
    <row r="15" spans="1:80" ht="16.2" hidden="1" thickBot="1" x14ac:dyDescent="0.35">
      <c r="A15" s="49" t="str">
        <f>IF(AND(I15&lt;&gt;"",H15=1),7,"")</f>
        <v/>
      </c>
      <c r="B15" s="104" t="e">
        <f>SUM(B8:B14)</f>
        <v>#N/A</v>
      </c>
      <c r="C15" s="161"/>
      <c r="D15" s="150"/>
      <c r="E15" s="150"/>
      <c r="F15" s="150"/>
      <c r="G15" s="150">
        <f>COUNTIFS(I8:I14,$U$30,H8:H14,1)</f>
        <v>0</v>
      </c>
      <c r="H15" s="106">
        <f>COUNTIFS(I8:I14,$AA$30,H8:H14,1)</f>
        <v>0</v>
      </c>
      <c r="I15" s="50">
        <f>COUNTIFS(I8:I14,$AF$30,H8:H14,1)</f>
        <v>0</v>
      </c>
      <c r="J15" s="105"/>
      <c r="K15" s="32" t="e">
        <f>SUM(K8:K13)</f>
        <v>#N/A</v>
      </c>
      <c r="L15" s="33"/>
      <c r="M15" s="42"/>
      <c r="N15" s="42"/>
      <c r="O15" s="150">
        <f>COUNTIFS(Q8:Q14,$U$30,P8:P14,1)</f>
        <v>0</v>
      </c>
      <c r="P15" s="106">
        <f>COUNTIFS(Q8:Q14,$AA$30,P8:P14,1)</f>
        <v>0</v>
      </c>
      <c r="Q15" s="50">
        <f>COUNTIFS(Q8:Q14,$AF$30,P8:P14,1)</f>
        <v>0</v>
      </c>
      <c r="R15" s="101"/>
      <c r="S15" s="104" t="e">
        <f>SUM(S8:S13)</f>
        <v>#N/A</v>
      </c>
      <c r="T15" s="36"/>
      <c r="U15" s="37"/>
      <c r="V15" s="37"/>
      <c r="W15" s="150">
        <f>COUNTIFS(Y8:Y14,$U$30,X8:X14,1)</f>
        <v>0</v>
      </c>
      <c r="X15" s="106">
        <f>COUNTIFS(Y8:Y14,$AA$30,X8:X14,1)</f>
        <v>0</v>
      </c>
      <c r="Y15" s="50">
        <f>COUNTIFS(Y8:Y14,$AF$30,X8:X14,1)</f>
        <v>0</v>
      </c>
      <c r="Z15" s="107"/>
      <c r="AA15" s="38" t="e">
        <f>SUM(AA8:AA13)</f>
        <v>#N/A</v>
      </c>
      <c r="AB15" s="37"/>
      <c r="AC15" s="37"/>
      <c r="AD15" s="37"/>
      <c r="AE15" s="150">
        <f>COUNTIFS(AG8:AG14,$U$30,AF8:AF14,1)</f>
        <v>0</v>
      </c>
      <c r="AF15" s="106">
        <f>COUNTIFS(AG8:AG14,$AA$30,AF8:AF14,1)</f>
        <v>0</v>
      </c>
      <c r="AG15" s="252">
        <f>COUNTIFS(AG8:AG14,$AF$30,AF8:AF14,1)</f>
        <v>0</v>
      </c>
      <c r="AH15" s="405"/>
      <c r="AI15" s="405"/>
      <c r="AJ15" s="405"/>
      <c r="AK15" s="259"/>
      <c r="AL15" s="85" t="e">
        <f t="shared" ref="AL15:AL20" si="7">IF(J8&lt;&gt;"",J8,"")</f>
        <v>#N/A</v>
      </c>
      <c r="AM15" s="1">
        <v>8</v>
      </c>
      <c r="AU15" s="34">
        <v>11</v>
      </c>
      <c r="AV15" s="34">
        <v>50</v>
      </c>
      <c r="AW15" s="34" t="s">
        <v>119</v>
      </c>
      <c r="AX15" s="34">
        <f t="shared" si="6"/>
        <v>0</v>
      </c>
      <c r="AY15" s="34" t="e">
        <f t="shared" si="6"/>
        <v>#N/A</v>
      </c>
      <c r="BF15" s="34" t="s">
        <v>162</v>
      </c>
      <c r="BG15" s="177">
        <v>152</v>
      </c>
    </row>
    <row r="16" spans="1:80" ht="21.6" thickBot="1" x14ac:dyDescent="0.35">
      <c r="A16" s="49"/>
      <c r="B16" s="407" t="s">
        <v>21</v>
      </c>
      <c r="C16" s="407"/>
      <c r="D16" s="407"/>
      <c r="E16" s="407"/>
      <c r="F16" s="407"/>
      <c r="G16" s="407"/>
      <c r="H16" s="407"/>
      <c r="I16" s="407"/>
      <c r="J16" s="407"/>
      <c r="K16" s="407"/>
      <c r="L16" s="407"/>
      <c r="M16" s="407"/>
      <c r="N16" s="407"/>
      <c r="O16" s="407"/>
      <c r="P16" s="407"/>
      <c r="Q16" s="431"/>
      <c r="R16" s="101"/>
      <c r="S16" s="241"/>
      <c r="T16" s="406" t="s">
        <v>22</v>
      </c>
      <c r="U16" s="407"/>
      <c r="V16" s="407"/>
      <c r="W16" s="407"/>
      <c r="X16" s="407"/>
      <c r="Y16" s="407"/>
      <c r="Z16" s="407"/>
      <c r="AA16" s="407"/>
      <c r="AB16" s="407"/>
      <c r="AC16" s="407"/>
      <c r="AD16" s="407"/>
      <c r="AE16" s="407"/>
      <c r="AF16" s="407"/>
      <c r="AG16" s="407"/>
      <c r="AH16" s="405"/>
      <c r="AI16" s="405"/>
      <c r="AJ16" s="405"/>
      <c r="AK16" s="259"/>
      <c r="AL16" s="85" t="e">
        <f t="shared" si="7"/>
        <v>#N/A</v>
      </c>
      <c r="AM16" s="1">
        <v>9</v>
      </c>
      <c r="AU16" s="34">
        <v>12</v>
      </c>
      <c r="AV16" s="34">
        <v>51</v>
      </c>
      <c r="AW16" s="34" t="s">
        <v>120</v>
      </c>
      <c r="AX16" s="34">
        <f t="shared" si="6"/>
        <v>0</v>
      </c>
      <c r="AY16" s="34" t="e">
        <f t="shared" si="6"/>
        <v>#N/A</v>
      </c>
      <c r="BF16" s="34" t="s">
        <v>164</v>
      </c>
      <c r="BG16" s="177">
        <v>153</v>
      </c>
    </row>
    <row r="17" spans="1:80" ht="26.25" customHeight="1" thickBot="1" x14ac:dyDescent="0.35">
      <c r="A17" s="49" t="e">
        <f>IF(AND(I17&lt;&gt;"",OR(H17=1,H17=2,H17=3)),14,"")</f>
        <v>#N/A</v>
      </c>
      <c r="B17" s="104" t="e">
        <f t="shared" ref="B17:B23" si="8">IF(OR(I17="ج",I17="ر1",I17="ر2"),IF(H17=1,IF(OR($F$5=$AO$8,$F$5=$AO$9),0,IF(OR($F$5=$AO$1,$F$5=$AO$2,$F$5=$AO$5,$F$5=$AO$6),IF(I17="ج",5600,IF(I17="ر1",7200,IF(I17="ر2",8800,""))),IF(OR($F$5=$AO$3,$F$5=$AO$7),IF(I17="ج",3500,IF(I17="ر1",4500,IF(I17="ر2",5500,""))),IF($F$5=$AO$4,500,IF(I17="ج",7000,IF(I17="ر1",9000,IF(I17="ر2",11000,"")))))))))</f>
        <v>#N/A</v>
      </c>
      <c r="C17" s="44">
        <v>52</v>
      </c>
      <c r="D17" s="376" t="s">
        <v>121</v>
      </c>
      <c r="E17" s="377"/>
      <c r="F17" s="377"/>
      <c r="G17" s="377"/>
      <c r="H17" s="263"/>
      <c r="I17" s="171" t="e">
        <f>IF(VLOOKUP($E$1,ورقة4!$A$2:$BA$15000,16,0)=0,"",(VLOOKUP($E$1,ورقة4!$A$2:$BA$15000,16,0)))</f>
        <v>#N/A</v>
      </c>
      <c r="J17" s="115" t="e">
        <f>IF(AND(Q17&lt;&gt;"",OR(P17=1,P17=2,P17=3)),21,"")</f>
        <v>#N/A</v>
      </c>
      <c r="K17" s="104" t="e">
        <f t="shared" ref="K17:K22" si="9">IF(OR(Q17="ج",Q17="ر1",Q17="ر2"),IF(P17=1,IF(OR($F$5=$AO$8,$F$5=$AO$9),0,IF(OR($F$5=$AO$1,$F$5=$AO$2,$F$5=$AO$5,$F$5=$AO$6),IF(Q17="ج",5600,IF(Q17="ر1",7200,IF(Q17="ر2",8800,""))),IF(OR($F$5=$AO$3,$F$5=$AO$7),IF(Q17="ج",3500,IF(Q17="ر1",4500,IF(Q17="ر2",5500,""))),IF($F$5=$AO$4,500,IF(Q17="ج",7000,IF(Q17="ر1",9000,IF(Q17="ر2",11000,"")))))))))</f>
        <v>#N/A</v>
      </c>
      <c r="L17" s="44">
        <v>58</v>
      </c>
      <c r="M17" s="376" t="s">
        <v>127</v>
      </c>
      <c r="N17" s="377"/>
      <c r="O17" s="377"/>
      <c r="P17" s="263"/>
      <c r="Q17" s="169" t="e">
        <f>IF(VLOOKUP($E$1,ورقة4!$A$2:$BA$15000,23,0)=0,"",(VLOOKUP($E$1,ورقة4!$A$2:$BA$15000,23,0)))</f>
        <v>#N/A</v>
      </c>
      <c r="R17" s="101" t="e">
        <f>IF(AND(Y17&lt;&gt;"",OR(X17=1,X17=2,X17=3)),39,"")</f>
        <v>#N/A</v>
      </c>
      <c r="S17" s="104" t="e">
        <f t="shared" ref="S17:S22" si="10">IF(OR(Y17="ج",Y17="ر1",Y17="ر2"),IF(X17=1,IF(OR($F$5=$AO$8,$F$5=$AO$9),0,IF(OR($F$5=$AO$1,$F$5=$AO$2,$F$5=$AO$5,$F$5=$AO$6),IF(Y17="ج",5600,IF(Y17="ر1",7200,IF(Y17="ر2",8800,""))),IF(OR($F$5=$AO$3,$F$5=$AO$7),IF(Y17="ج",3500,IF(Y17="ر1",4500,IF(Y17="ر2",5500,""))),IF($F$5=$AO$4,500,IF(Y17="ج",7000,IF(Y17="ر1",9000,IF(Y17="ر2",11000,"")))))))))</f>
        <v>#N/A</v>
      </c>
      <c r="T17" s="158">
        <v>74</v>
      </c>
      <c r="U17" s="384" t="s">
        <v>140</v>
      </c>
      <c r="V17" s="385"/>
      <c r="W17" s="385"/>
      <c r="X17" s="263"/>
      <c r="Y17" s="169" t="e">
        <f>IF(VLOOKUP($E$1,ورقة4!$A$2:$BA$15000,41,0)=0,"",(VLOOKUP($E$1,ورقة4!$A$2:$BA$15000,41,0)))</f>
        <v>#N/A</v>
      </c>
      <c r="Z17" s="115" t="e">
        <f>IF(AND(AG17&lt;&gt;"",OR(AF17=1,AF17=2,AF17=3)),45,"")</f>
        <v>#N/A</v>
      </c>
      <c r="AA17" s="104" t="e">
        <f t="shared" ref="AA17:AA22" si="11">IF(OR(AG17="ج",AG17="ر1",AG17="ر2"),IF(AF17=1,IF(OR($F$5=$AO$8,$F$5=$AO$9),0,IF(OR($F$5=$AO$1,$F$5=$AO$2,$F$5=$AO$5,$F$5=$AO$6),IF(AG17="ج",5600,IF(AG17="ر1",7200,IF(AG17="ر2",8800,""))),IF(OR($F$5=$AO$3,$F$5=$AO$7),IF(AG17="ج",3500,IF(AG17="ر1",4500,IF(AG17="ر2",5500,""))),IF($F$5=$AO$4,500,IF(AG17="ج",7000,IF(AG17="ر1",9000,IF(AG17="ر2",11000,"")))))))))</f>
        <v>#N/A</v>
      </c>
      <c r="AB17" s="158">
        <v>80</v>
      </c>
      <c r="AC17" s="382" t="s">
        <v>146</v>
      </c>
      <c r="AD17" s="383"/>
      <c r="AE17" s="383"/>
      <c r="AF17" s="263"/>
      <c r="AG17" s="253" t="e">
        <f>IF(VLOOKUP($E$1,ورقة4!$A$2:$BA$15000,47,0)=0,"",(VLOOKUP($E$1,ورقة4!$A$2:$BA$15000,47,0)))</f>
        <v>#N/A</v>
      </c>
      <c r="AH17" s="405"/>
      <c r="AI17" s="405"/>
      <c r="AJ17" s="405"/>
      <c r="AK17" s="259"/>
      <c r="AL17" s="85" t="e">
        <f t="shared" si="7"/>
        <v>#N/A</v>
      </c>
      <c r="AM17" s="1">
        <v>10</v>
      </c>
      <c r="AU17" s="34">
        <v>13</v>
      </c>
      <c r="AV17" s="34">
        <f>L13</f>
        <v>0</v>
      </c>
      <c r="AW17" s="34" t="str">
        <f>M13</f>
        <v>اكتب اسم المادة الاختيارية</v>
      </c>
      <c r="AX17" s="34">
        <f t="shared" si="6"/>
        <v>0</v>
      </c>
      <c r="AY17" s="34" t="e">
        <f t="shared" si="6"/>
        <v>#N/A</v>
      </c>
      <c r="BF17" s="34" t="s">
        <v>161</v>
      </c>
      <c r="BG17" s="177">
        <v>154</v>
      </c>
    </row>
    <row r="18" spans="1:80" ht="34.5" customHeight="1" thickTop="1" thickBot="1" x14ac:dyDescent="0.35">
      <c r="A18" s="49" t="e">
        <f>IF(AND(I18&lt;&gt;"",OR(H18=1,H18=2,H18=3)),15,"")</f>
        <v>#N/A</v>
      </c>
      <c r="B18" s="104" t="e">
        <f t="shared" si="8"/>
        <v>#N/A</v>
      </c>
      <c r="C18" s="45">
        <v>53</v>
      </c>
      <c r="D18" s="361" t="s">
        <v>122</v>
      </c>
      <c r="E18" s="362"/>
      <c r="F18" s="362"/>
      <c r="G18" s="362"/>
      <c r="H18" s="264"/>
      <c r="I18" s="172" t="e">
        <f>IF(VLOOKUP($E$1,ورقة4!$A$2:$BA$15000,17,0)=0,"",(VLOOKUP($E$1,ورقة4!$A$2:$BA$15000,17,0)))</f>
        <v>#N/A</v>
      </c>
      <c r="J18" s="115" t="e">
        <f>IF(AND(Q18&lt;&gt;"",OR(P18=1,P18=2,P18=3)),22,"")</f>
        <v>#N/A</v>
      </c>
      <c r="K18" s="104" t="e">
        <f t="shared" si="9"/>
        <v>#N/A</v>
      </c>
      <c r="L18" s="45">
        <v>59</v>
      </c>
      <c r="M18" s="426" t="s">
        <v>149</v>
      </c>
      <c r="N18" s="427"/>
      <c r="O18" s="427"/>
      <c r="P18" s="264"/>
      <c r="Q18" s="170" t="e">
        <f>IF(VLOOKUP($E$1,ورقة4!$A$2:$BA$15000,24,0)=0,"",(VLOOKUP($E$1,ورقة4!$A$2:$BA$15000,24,0)))</f>
        <v>#N/A</v>
      </c>
      <c r="R18" s="101" t="e">
        <f>IF(AND(Y18&lt;&gt;"",OR(X18=1,X18=2,X18=3)),40,"")</f>
        <v>#N/A</v>
      </c>
      <c r="S18" s="104" t="e">
        <f t="shared" si="10"/>
        <v>#N/A</v>
      </c>
      <c r="T18" s="159">
        <v>75</v>
      </c>
      <c r="U18" s="403" t="s">
        <v>141</v>
      </c>
      <c r="V18" s="404"/>
      <c r="W18" s="404"/>
      <c r="X18" s="264"/>
      <c r="Y18" s="170" t="e">
        <f>IF(VLOOKUP($E$1,ورقة4!$A$2:$BA$15000,42,0)=0,"",(VLOOKUP($E$1,ورقة4!$A$2:$BA$15000,42,0)))</f>
        <v>#N/A</v>
      </c>
      <c r="Z18" s="115" t="e">
        <f>IF(AND(AG18&lt;&gt;"",OR(AF18=1,AF18=2,AF18=3)),46,"")</f>
        <v>#N/A</v>
      </c>
      <c r="AA18" s="104" t="e">
        <f t="shared" si="11"/>
        <v>#N/A</v>
      </c>
      <c r="AB18" s="159">
        <v>81</v>
      </c>
      <c r="AC18" s="408" t="s">
        <v>150</v>
      </c>
      <c r="AD18" s="409"/>
      <c r="AE18" s="409"/>
      <c r="AF18" s="264"/>
      <c r="AG18" s="250" t="e">
        <f>IF(VLOOKUP($E$1,ورقة4!$A$2:$BA$15000,48,0)=0,"",(VLOOKUP($E$1,ورقة4!$A$2:$BA$15000,48,0)))</f>
        <v>#N/A</v>
      </c>
      <c r="AH18" s="405"/>
      <c r="AI18" s="405"/>
      <c r="AJ18" s="405"/>
      <c r="AK18" s="259"/>
      <c r="AL18" s="85" t="e">
        <f t="shared" si="7"/>
        <v>#N/A</v>
      </c>
      <c r="AM18" s="1">
        <v>11</v>
      </c>
      <c r="AU18" s="34">
        <v>14</v>
      </c>
      <c r="AV18" s="34">
        <v>52</v>
      </c>
      <c r="AW18" s="34" t="s">
        <v>121</v>
      </c>
      <c r="AX18" s="34">
        <f t="shared" ref="AX18:AY24" si="12">H17</f>
        <v>0</v>
      </c>
      <c r="AY18" s="34" t="e">
        <f t="shared" si="12"/>
        <v>#N/A</v>
      </c>
      <c r="BF18" s="34" t="s">
        <v>222</v>
      </c>
      <c r="BG18" s="177">
        <v>155</v>
      </c>
    </row>
    <row r="19" spans="1:80" ht="30.75" customHeight="1" thickTop="1" thickBot="1" x14ac:dyDescent="0.35">
      <c r="A19" s="49" t="e">
        <f>IF(AND(I19&lt;&gt;"",OR(H19=1,H19=2,H19=3)),16,"")</f>
        <v>#N/A</v>
      </c>
      <c r="B19" s="104" t="e">
        <f t="shared" si="8"/>
        <v>#N/A</v>
      </c>
      <c r="C19" s="45">
        <v>54</v>
      </c>
      <c r="D19" s="375" t="s">
        <v>123</v>
      </c>
      <c r="E19" s="368"/>
      <c r="F19" s="368"/>
      <c r="G19" s="368"/>
      <c r="H19" s="264"/>
      <c r="I19" s="172" t="e">
        <f>IF(VLOOKUP($E$1,ورقة4!$A$2:$BA$15000,18,0)=0,"",(VLOOKUP($E$1,ورقة4!$A$2:$BA$15000,18,0)))</f>
        <v>#N/A</v>
      </c>
      <c r="J19" s="115" t="e">
        <f>IF(AND(Q19&lt;&gt;"",OR(P19=1,P19=2,P19=3)),23,"")</f>
        <v>#N/A</v>
      </c>
      <c r="K19" s="104" t="e">
        <f t="shared" si="9"/>
        <v>#N/A</v>
      </c>
      <c r="L19" s="45">
        <v>60</v>
      </c>
      <c r="M19" s="426" t="s">
        <v>128</v>
      </c>
      <c r="N19" s="427"/>
      <c r="O19" s="427"/>
      <c r="P19" s="264"/>
      <c r="Q19" s="170" t="e">
        <f>IF(VLOOKUP($E$1,ورقة4!$A$2:$BA$15000,25,0)=0,"",(VLOOKUP($E$1,ورقة4!$A$2:$BA$15000,25,0)))</f>
        <v>#N/A</v>
      </c>
      <c r="R19" s="101" t="e">
        <f>IF(AND(Y19&lt;&gt;"",OR(X19=1,X19=2,X19=3)),41,"")</f>
        <v>#N/A</v>
      </c>
      <c r="S19" s="104" t="e">
        <f t="shared" si="10"/>
        <v>#N/A</v>
      </c>
      <c r="T19" s="159">
        <v>76</v>
      </c>
      <c r="U19" s="367" t="s">
        <v>142</v>
      </c>
      <c r="V19" s="368"/>
      <c r="W19" s="368"/>
      <c r="X19" s="264"/>
      <c r="Y19" s="170" t="e">
        <f>IF(VLOOKUP($E$1,ورقة4!$A$2:$BA$15000,43,0)=0,"",(VLOOKUP($E$1,ورقة4!$A$2:$BA$15000,43,0)))</f>
        <v>#N/A</v>
      </c>
      <c r="Z19" s="115" t="e">
        <f>IF(AND(AG19&lt;&gt;"",OR(AF19=1,AF19=2,AF19=3)),47,"")</f>
        <v>#N/A</v>
      </c>
      <c r="AA19" s="104" t="e">
        <f t="shared" si="11"/>
        <v>#N/A</v>
      </c>
      <c r="AB19" s="159">
        <v>82</v>
      </c>
      <c r="AC19" s="367" t="s">
        <v>147</v>
      </c>
      <c r="AD19" s="368"/>
      <c r="AE19" s="368"/>
      <c r="AF19" s="264"/>
      <c r="AG19" s="250" t="e">
        <f>IF(VLOOKUP($E$1,ورقة4!$A$2:$BA$15000,49,0)=0,"",(VLOOKUP($E$1,ورقة4!$A$2:$BA$15000,49,0)))</f>
        <v>#N/A</v>
      </c>
      <c r="AH19" s="405"/>
      <c r="AI19" s="405"/>
      <c r="AJ19" s="405"/>
      <c r="AK19" s="259"/>
      <c r="AL19" s="85" t="e">
        <f t="shared" si="7"/>
        <v>#N/A</v>
      </c>
      <c r="AM19" s="1">
        <v>12</v>
      </c>
      <c r="AU19" s="34">
        <v>15</v>
      </c>
      <c r="AV19" s="34">
        <v>53</v>
      </c>
      <c r="AW19" s="34" t="s">
        <v>122</v>
      </c>
      <c r="AX19" s="34">
        <f t="shared" si="12"/>
        <v>0</v>
      </c>
      <c r="AY19" s="34" t="e">
        <f t="shared" si="12"/>
        <v>#N/A</v>
      </c>
      <c r="BF19" s="34" t="s">
        <v>153</v>
      </c>
    </row>
    <row r="20" spans="1:80" ht="30.75" customHeight="1" thickTop="1" thickBot="1" x14ac:dyDescent="0.35">
      <c r="A20" s="49" t="e">
        <f>IF(AND(I20&lt;&gt;"",OR(H20=1,H20=2,H20=3)),17,"")</f>
        <v>#N/A</v>
      </c>
      <c r="B20" s="104" t="e">
        <f t="shared" si="8"/>
        <v>#N/A</v>
      </c>
      <c r="C20" s="45">
        <v>55</v>
      </c>
      <c r="D20" s="375" t="s">
        <v>124</v>
      </c>
      <c r="E20" s="368"/>
      <c r="F20" s="368"/>
      <c r="G20" s="368"/>
      <c r="H20" s="264"/>
      <c r="I20" s="172" t="e">
        <f>IF(VLOOKUP($E$1,ورقة4!$A$2:$BA$15000,19,0)=0,"",(VLOOKUP($E$1,ورقة4!$A$2:$BA$15000,19,0)))</f>
        <v>#N/A</v>
      </c>
      <c r="J20" s="115" t="e">
        <f>IF(AND(Q20&lt;&gt;"",OR(P20=1,P20=2,P20=3)),24,"")</f>
        <v>#N/A</v>
      </c>
      <c r="K20" s="104" t="e">
        <f t="shared" si="9"/>
        <v>#N/A</v>
      </c>
      <c r="L20" s="45">
        <v>61</v>
      </c>
      <c r="M20" s="375" t="s">
        <v>129</v>
      </c>
      <c r="N20" s="368"/>
      <c r="O20" s="368"/>
      <c r="P20" s="264"/>
      <c r="Q20" s="170" t="e">
        <f>IF(VLOOKUP($E$1,ورقة4!$A$2:$BA$15000,26,0)=0,"",(VLOOKUP($E$1,ورقة4!$A$2:$BA$15000,26,0)))</f>
        <v>#N/A</v>
      </c>
      <c r="R20" s="101" t="e">
        <f>IF(AND(Y20&lt;&gt;"",OR(X20=1,X20=2,X20=3)),42,"")</f>
        <v>#N/A</v>
      </c>
      <c r="S20" s="104" t="e">
        <f t="shared" si="10"/>
        <v>#N/A</v>
      </c>
      <c r="T20" s="159">
        <v>77</v>
      </c>
      <c r="U20" s="403" t="s">
        <v>143</v>
      </c>
      <c r="V20" s="404"/>
      <c r="W20" s="404"/>
      <c r="X20" s="264"/>
      <c r="Y20" s="170" t="e">
        <f>IF(VLOOKUP($E$1,ورقة4!$A$2:$BA$15000,44,0)=0,"",(VLOOKUP($E$1,ورقة4!$A$2:$BA$15000,44,0)))</f>
        <v>#N/A</v>
      </c>
      <c r="Z20" s="115" t="e">
        <f>IF(AND(AG20&lt;&gt;"",OR(AF20=1,AF20=2,AF20=3)),48,"")</f>
        <v>#N/A</v>
      </c>
      <c r="AA20" s="104" t="e">
        <f t="shared" si="11"/>
        <v>#N/A</v>
      </c>
      <c r="AB20" s="159">
        <v>83</v>
      </c>
      <c r="AC20" s="403" t="s">
        <v>148</v>
      </c>
      <c r="AD20" s="404"/>
      <c r="AE20" s="404"/>
      <c r="AF20" s="264"/>
      <c r="AG20" s="250" t="e">
        <f>IF(VLOOKUP($E$1,ورقة4!$A$2:$BA$15000,50,0)=0,"",(VLOOKUP($E$1,ورقة4!$A$2:$BA$15000,50,0)))</f>
        <v>#N/A</v>
      </c>
      <c r="AH20" s="135"/>
      <c r="AI20" s="135"/>
      <c r="AJ20" s="135"/>
      <c r="AK20" s="259"/>
      <c r="AL20" s="85" t="e">
        <f t="shared" si="7"/>
        <v>#N/A</v>
      </c>
      <c r="AM20" s="1">
        <v>13</v>
      </c>
      <c r="AU20" s="34">
        <v>16</v>
      </c>
      <c r="AV20" s="34">
        <v>54</v>
      </c>
      <c r="AW20" s="34" t="s">
        <v>123</v>
      </c>
      <c r="AX20" s="34">
        <f t="shared" si="12"/>
        <v>0</v>
      </c>
      <c r="AY20" s="34" t="e">
        <f t="shared" si="12"/>
        <v>#N/A</v>
      </c>
      <c r="BF20" s="34" t="s">
        <v>167</v>
      </c>
      <c r="BG20" s="177">
        <v>157</v>
      </c>
    </row>
    <row r="21" spans="1:80" ht="26.25" customHeight="1" thickTop="1" thickBot="1" x14ac:dyDescent="0.35">
      <c r="A21" s="49" t="e">
        <f>IF(AND(I21&lt;&gt;"",OR(H21=1,H21=2,H21=3)),18,"")</f>
        <v>#N/A</v>
      </c>
      <c r="B21" s="104" t="e">
        <f t="shared" si="8"/>
        <v>#N/A</v>
      </c>
      <c r="C21" s="45">
        <v>56</v>
      </c>
      <c r="D21" s="361" t="s">
        <v>125</v>
      </c>
      <c r="E21" s="362"/>
      <c r="F21" s="362"/>
      <c r="G21" s="362"/>
      <c r="H21" s="264"/>
      <c r="I21" s="172" t="e">
        <f>IF(VLOOKUP($E$1,ورقة4!$A$2:$BA$15000,20,0)=0,"",(VLOOKUP($E$1,ورقة4!$A$2:$BA$15000,20,0)))</f>
        <v>#N/A</v>
      </c>
      <c r="J21" s="115" t="e">
        <f>IF(AND(Q21&lt;&gt;"",OR(P21=1,P21=2,P21=3)),25,"")</f>
        <v>#N/A</v>
      </c>
      <c r="K21" s="104" t="e">
        <f t="shared" si="9"/>
        <v>#N/A</v>
      </c>
      <c r="L21" s="45">
        <v>62</v>
      </c>
      <c r="M21" s="375" t="s">
        <v>120</v>
      </c>
      <c r="N21" s="368"/>
      <c r="O21" s="368"/>
      <c r="P21" s="264"/>
      <c r="Q21" s="170" t="e">
        <f>IF(VLOOKUP($E$1,ورقة4!$A$2:$BA$15000,27,0)=0,"",(VLOOKUP($E$1,ورقة4!$A$2:$BA$15000,27,0)))</f>
        <v>#N/A</v>
      </c>
      <c r="R21" s="101" t="e">
        <f>IF(AND(Y21&lt;&gt;"",OR(X21=1,X21=2,X21=3)),43,"")</f>
        <v>#N/A</v>
      </c>
      <c r="S21" s="104" t="e">
        <f t="shared" si="10"/>
        <v>#N/A</v>
      </c>
      <c r="T21" s="159">
        <v>78</v>
      </c>
      <c r="U21" s="403" t="s">
        <v>144</v>
      </c>
      <c r="V21" s="404"/>
      <c r="W21" s="404"/>
      <c r="X21" s="264"/>
      <c r="Y21" s="170" t="e">
        <f>IF(VLOOKUP($E$1,ورقة4!$A$2:$BA$15000,45,0)=0,"",(VLOOKUP($E$1,ورقة4!$A$2:$BA$15000,45,0)))</f>
        <v>#N/A</v>
      </c>
      <c r="Z21" s="115" t="e">
        <f>IF(AND(AG21&lt;&gt;"",OR(AF21=1,AF21=2,AF21=3)),49,"")</f>
        <v>#N/A</v>
      </c>
      <c r="AA21" s="104" t="e">
        <f t="shared" si="11"/>
        <v>#N/A</v>
      </c>
      <c r="AB21" s="159">
        <v>84</v>
      </c>
      <c r="AC21" s="399" t="s">
        <v>120</v>
      </c>
      <c r="AD21" s="400"/>
      <c r="AE21" s="400"/>
      <c r="AF21" s="264"/>
      <c r="AG21" s="250" t="e">
        <f>IF(VLOOKUP($E$1,ورقة4!$A$2:$BA$15000,51,0)=0,"",(VLOOKUP($E$1,ورقة4!$A$2:$BA$15000,51,0)))</f>
        <v>#N/A</v>
      </c>
      <c r="AH21" s="135"/>
      <c r="AI21" s="135"/>
      <c r="AJ21" s="135"/>
      <c r="AK21" s="259"/>
      <c r="AL21" s="85" t="e">
        <f t="shared" ref="AL21:AL27" si="13">IF(A17&lt;&gt;"",A17,"")</f>
        <v>#N/A</v>
      </c>
      <c r="AM21" s="1">
        <v>14</v>
      </c>
      <c r="AU21" s="34">
        <v>17</v>
      </c>
      <c r="AV21" s="34">
        <v>55</v>
      </c>
      <c r="AW21" s="34" t="s">
        <v>124</v>
      </c>
      <c r="AX21" s="34">
        <f t="shared" si="12"/>
        <v>0</v>
      </c>
      <c r="AY21" s="34" t="e">
        <f t="shared" si="12"/>
        <v>#N/A</v>
      </c>
      <c r="BF21" s="34" t="s">
        <v>168</v>
      </c>
      <c r="BG21" s="177">
        <v>158</v>
      </c>
    </row>
    <row r="22" spans="1:80" ht="20.25" customHeight="1" thickTop="1" thickBot="1" x14ac:dyDescent="0.35">
      <c r="A22" s="49" t="e">
        <f>IF(AND(I22&lt;&gt;"",OR(H22=1,H22=2,H22=3)),19,"")</f>
        <v>#N/A</v>
      </c>
      <c r="B22" s="104" t="e">
        <f t="shared" si="8"/>
        <v>#N/A</v>
      </c>
      <c r="C22" s="45">
        <v>57</v>
      </c>
      <c r="D22" s="361" t="s">
        <v>126</v>
      </c>
      <c r="E22" s="362"/>
      <c r="F22" s="362"/>
      <c r="G22" s="362"/>
      <c r="H22" s="264"/>
      <c r="I22" s="172" t="e">
        <f>IF(VLOOKUP($E$1,ورقة4!$A$2:$BA$15000,21,0)=0,"",(VLOOKUP($E$1,ورقة4!$A$2:$BA$15000,21,0)))</f>
        <v>#N/A</v>
      </c>
      <c r="J22" s="115" t="e">
        <f>IF(AND(Q22&lt;&gt;"",OR(P22=1,P22=2,P22=3)),26,"")</f>
        <v>#N/A</v>
      </c>
      <c r="K22" s="104" t="e">
        <f t="shared" si="9"/>
        <v>#N/A</v>
      </c>
      <c r="L22" s="157">
        <f>IFERROR(VLOOKUP(M22,$BF$5:$BG$34,2,0),"")</f>
        <v>0</v>
      </c>
      <c r="M22" s="433" t="s">
        <v>153</v>
      </c>
      <c r="N22" s="434"/>
      <c r="O22" s="434"/>
      <c r="P22" s="264"/>
      <c r="Q22" s="170" t="e">
        <f>IF(VLOOKUP($E$1,ورقة4!$A$2:$BA$15000,28,0)=0,"",(VLOOKUP($E$1,ورقة4!$A$2:$BA$15000,28,0)))</f>
        <v>#N/A</v>
      </c>
      <c r="R22" s="101" t="e">
        <f>IF(AND(Y22&lt;&gt;"",OR(X22=1,X22=2,X22=3)),44,"")</f>
        <v>#N/A</v>
      </c>
      <c r="S22" s="104" t="e">
        <f t="shared" si="10"/>
        <v>#N/A</v>
      </c>
      <c r="T22" s="160">
        <v>79</v>
      </c>
      <c r="U22" s="421" t="s">
        <v>145</v>
      </c>
      <c r="V22" s="422"/>
      <c r="W22" s="422"/>
      <c r="X22" s="264"/>
      <c r="Y22" s="170" t="e">
        <f>IF(VLOOKUP($E$1,ورقة4!$A$2:$BA$15000,46,0)=0,"",(VLOOKUP($E$1,ورقة4!$A$2:$BA$15000,46,0)))</f>
        <v>#N/A</v>
      </c>
      <c r="Z22" s="115" t="e">
        <f>IF(AND(AG22&lt;&gt;"",OR(AF22=1,AF22=2,AF22=3)),50,"")</f>
        <v>#N/A</v>
      </c>
      <c r="AA22" s="104" t="e">
        <f t="shared" si="11"/>
        <v>#N/A</v>
      </c>
      <c r="AB22" s="160">
        <f>IFERROR(VLOOKUP(AC22,$BF$5:$BG$34,2,0),"")</f>
        <v>0</v>
      </c>
      <c r="AC22" s="401" t="s">
        <v>153</v>
      </c>
      <c r="AD22" s="402"/>
      <c r="AE22" s="402"/>
      <c r="AF22" s="264"/>
      <c r="AG22" s="250" t="e">
        <f>IF(VLOOKUP($E$1,ورقة4!$A$2:$BA$15000,52,0)=0,"",(VLOOKUP($E$1,ورقة4!$A$2:$BA$15000,52,0)))</f>
        <v>#N/A</v>
      </c>
      <c r="AH22" s="135"/>
      <c r="AI22" s="135"/>
      <c r="AJ22" s="135"/>
      <c r="AK22" s="259"/>
      <c r="AL22" s="85" t="e">
        <f t="shared" si="13"/>
        <v>#N/A</v>
      </c>
      <c r="AM22" s="1">
        <v>15</v>
      </c>
      <c r="AU22" s="34">
        <v>18</v>
      </c>
      <c r="AV22" s="34">
        <v>56</v>
      </c>
      <c r="AW22" s="34" t="s">
        <v>125</v>
      </c>
      <c r="AX22" s="34">
        <f t="shared" si="12"/>
        <v>0</v>
      </c>
      <c r="AY22" s="34" t="e">
        <f t="shared" si="12"/>
        <v>#N/A</v>
      </c>
      <c r="BF22" s="34" t="s">
        <v>165</v>
      </c>
      <c r="BG22" s="177">
        <v>159</v>
      </c>
    </row>
    <row r="23" spans="1:80" ht="16.2" thickBot="1" x14ac:dyDescent="0.35">
      <c r="A23" s="49" t="e">
        <f>IF(AND(I23&lt;&gt;"",OR(H23=1,H23=2,H23=3)),20,"")</f>
        <v>#N/A</v>
      </c>
      <c r="B23" s="104" t="e">
        <f t="shared" si="8"/>
        <v>#N/A</v>
      </c>
      <c r="C23" s="45">
        <v>201</v>
      </c>
      <c r="D23" s="361" t="s">
        <v>180</v>
      </c>
      <c r="E23" s="362"/>
      <c r="F23" s="362"/>
      <c r="G23" s="362"/>
      <c r="H23" s="264"/>
      <c r="I23" s="172" t="e">
        <f>IF(VLOOKUP($E$1,ورقة4!$A$2:$BA$15000,22,0)=0,"",(VLOOKUP($E$1,ورقة4!$A$2:$BA$15000,22,0)))</f>
        <v>#N/A</v>
      </c>
      <c r="J23" s="115"/>
      <c r="K23" s="235"/>
      <c r="L23" s="147"/>
      <c r="M23" s="154"/>
      <c r="N23" s="154"/>
      <c r="O23" s="154"/>
      <c r="P23" s="156"/>
      <c r="Q23" s="156"/>
      <c r="R23" s="116"/>
      <c r="S23" s="83"/>
      <c r="T23" s="147"/>
      <c r="U23" s="155"/>
      <c r="V23" s="155"/>
      <c r="W23" s="155"/>
      <c r="X23" s="156"/>
      <c r="Y23" s="156"/>
      <c r="Z23" s="116"/>
      <c r="AA23" s="83"/>
      <c r="AB23" s="147"/>
      <c r="AC23" s="148"/>
      <c r="AD23" s="148"/>
      <c r="AE23" s="148"/>
      <c r="AF23" s="149"/>
      <c r="AG23" s="251"/>
      <c r="AH23" s="135"/>
      <c r="AI23" s="135"/>
      <c r="AJ23" s="135"/>
      <c r="AK23" s="259"/>
      <c r="AL23" s="85" t="e">
        <f t="shared" si="13"/>
        <v>#N/A</v>
      </c>
      <c r="AM23" s="1">
        <v>16</v>
      </c>
      <c r="AU23" s="34">
        <v>19</v>
      </c>
      <c r="AV23" s="34">
        <v>57</v>
      </c>
      <c r="AW23" s="34" t="s">
        <v>126</v>
      </c>
      <c r="AX23" s="34">
        <f t="shared" si="12"/>
        <v>0</v>
      </c>
      <c r="AY23" s="34" t="e">
        <f t="shared" si="12"/>
        <v>#N/A</v>
      </c>
      <c r="BF23" s="34" t="s">
        <v>171</v>
      </c>
      <c r="BG23" s="177">
        <v>160</v>
      </c>
    </row>
    <row r="24" spans="1:80" ht="16.8" hidden="1" thickTop="1" thickBot="1" x14ac:dyDescent="0.35">
      <c r="A24" s="49"/>
      <c r="B24" s="104" t="e">
        <f>SUM(B17:B23)</f>
        <v>#N/A</v>
      </c>
      <c r="C24" s="55"/>
      <c r="D24" s="56"/>
      <c r="E24" s="56"/>
      <c r="F24" s="56"/>
      <c r="G24" s="150">
        <f>COUNTIFS(I17:I23,$U$30,H17:H23,1)</f>
        <v>0</v>
      </c>
      <c r="H24" s="106">
        <f>COUNTIFS(I17:I23,$AA$30,H17:H23,1)</f>
        <v>0</v>
      </c>
      <c r="I24" s="50">
        <f>COUNTIFS(I17:I23,$AF$30,H17:H23,1)</f>
        <v>0</v>
      </c>
      <c r="J24" s="105" t="str">
        <f>IF(AND(Q24&lt;&gt;"",P24=1),19,"")</f>
        <v/>
      </c>
      <c r="K24" s="104" t="e">
        <f>SUM(K17:K22)</f>
        <v>#N/A</v>
      </c>
      <c r="L24" s="55"/>
      <c r="M24" s="56"/>
      <c r="N24" s="56"/>
      <c r="O24" s="150">
        <f>COUNTIFS(Q17:Q23,$U$30,P17:P23,1)</f>
        <v>0</v>
      </c>
      <c r="P24" s="106">
        <f>COUNTIFS(Q17:Q23,$AA$30,P17:P23,1)</f>
        <v>0</v>
      </c>
      <c r="Q24" s="50">
        <f>COUNTIFS(Q17:Q23,$AF$30,P17:P23,1)</f>
        <v>0</v>
      </c>
      <c r="R24" s="108"/>
      <c r="S24" s="47" t="e">
        <f>SUM(S17:S22)</f>
        <v>#N/A</v>
      </c>
      <c r="T24" s="46"/>
      <c r="U24" s="52"/>
      <c r="V24" s="52"/>
      <c r="W24" s="150">
        <f>COUNTIFS(Y17:Y23,$U$30,X17:X23,1)</f>
        <v>0</v>
      </c>
      <c r="X24" s="106">
        <f>COUNTIFS(Y17:Y23,$AA$30,X17:X23,1)</f>
        <v>0</v>
      </c>
      <c r="Y24" s="50">
        <f>COUNTIFS(Y17:Y23,$AF$30,X17:X23,1)</f>
        <v>0</v>
      </c>
      <c r="Z24" s="89"/>
      <c r="AA24" s="47" t="e">
        <f>SUM(AA17:AA22)</f>
        <v>#N/A</v>
      </c>
      <c r="AB24" s="52"/>
      <c r="AC24" s="52"/>
      <c r="AD24" s="52"/>
      <c r="AE24" s="150">
        <f>COUNTIFS(AG17:AG23,$U$30,AF17:AF23,1)</f>
        <v>0</v>
      </c>
      <c r="AF24" s="106">
        <f>COUNTIFS(AG17:AG23,$AA$30,AF17:AF23,1)</f>
        <v>0</v>
      </c>
      <c r="AG24" s="252">
        <f>COUNTIFS(AG17:AG23,$AF$30,AF17:AF23,1)</f>
        <v>0</v>
      </c>
      <c r="AH24" s="135"/>
      <c r="AI24" s="135"/>
      <c r="AJ24" s="135"/>
      <c r="AK24" s="259"/>
      <c r="AL24" s="85" t="e">
        <f t="shared" si="13"/>
        <v>#N/A</v>
      </c>
      <c r="AM24" s="1">
        <v>17</v>
      </c>
      <c r="AU24" s="34">
        <v>20</v>
      </c>
      <c r="AV24" s="34">
        <v>201</v>
      </c>
      <c r="AW24" s="34" t="s">
        <v>180</v>
      </c>
      <c r="AX24" s="34">
        <f t="shared" si="12"/>
        <v>0</v>
      </c>
      <c r="AY24" s="34" t="e">
        <f t="shared" si="12"/>
        <v>#N/A</v>
      </c>
      <c r="BF24" s="34" t="s">
        <v>170</v>
      </c>
      <c r="BG24" s="177">
        <v>162</v>
      </c>
    </row>
    <row r="25" spans="1:80" ht="16.8" hidden="1" thickTop="1" thickBot="1" x14ac:dyDescent="0.35">
      <c r="B25" s="24"/>
      <c r="D25" s="43"/>
      <c r="E25" s="43"/>
      <c r="F25" s="43"/>
      <c r="G25" s="43"/>
      <c r="H25" s="24"/>
      <c r="I25" s="24"/>
      <c r="J25" s="24"/>
      <c r="K25" s="104"/>
      <c r="P25" s="106"/>
      <c r="Q25" s="50"/>
      <c r="R25" s="109"/>
      <c r="S25" s="104"/>
      <c r="T25" s="39" t="e">
        <f>B15+B24+K15+K24+S15+S24+AA15+AA24</f>
        <v>#N/A</v>
      </c>
      <c r="U25" s="40"/>
      <c r="V25" s="40"/>
      <c r="W25" s="40"/>
      <c r="X25" s="110"/>
      <c r="Y25" s="51"/>
      <c r="Z25" s="41"/>
      <c r="AA25" s="35"/>
      <c r="AB25" s="40"/>
      <c r="AC25" s="40"/>
      <c r="AD25" s="40"/>
      <c r="AE25" s="40"/>
      <c r="AF25" s="110"/>
      <c r="AG25" s="51"/>
      <c r="AH25" s="135"/>
      <c r="AI25" s="135"/>
      <c r="AJ25" s="135"/>
      <c r="AK25" s="259"/>
      <c r="AL25" s="85" t="e">
        <f t="shared" si="13"/>
        <v>#N/A</v>
      </c>
      <c r="AM25" s="1">
        <v>18</v>
      </c>
      <c r="AU25" s="34">
        <v>21</v>
      </c>
      <c r="AV25" s="34">
        <v>58</v>
      </c>
      <c r="AW25" s="34" t="s">
        <v>127</v>
      </c>
      <c r="AX25" s="34">
        <f t="shared" ref="AX25:AY30" si="14">P17</f>
        <v>0</v>
      </c>
      <c r="AY25" s="34" t="e">
        <f t="shared" si="14"/>
        <v>#N/A</v>
      </c>
      <c r="BF25" s="34" t="s">
        <v>172</v>
      </c>
      <c r="BG25" s="177">
        <v>164</v>
      </c>
    </row>
    <row r="26" spans="1:80" s="88" customFormat="1" ht="16.8" hidden="1" thickTop="1" thickBot="1" x14ac:dyDescent="0.35">
      <c r="S26" s="104"/>
      <c r="AH26" s="260"/>
      <c r="AI26" s="260"/>
      <c r="AJ26" s="260"/>
      <c r="AK26" s="260"/>
      <c r="AL26" s="85" t="e">
        <f t="shared" si="13"/>
        <v>#N/A</v>
      </c>
      <c r="AM26" s="1">
        <v>19</v>
      </c>
      <c r="AU26" s="34">
        <v>22</v>
      </c>
      <c r="AV26" s="34">
        <v>59</v>
      </c>
      <c r="AW26" s="34" t="s">
        <v>149</v>
      </c>
      <c r="AX26" s="34">
        <f t="shared" si="14"/>
        <v>0</v>
      </c>
      <c r="AY26" s="34" t="e">
        <f t="shared" si="14"/>
        <v>#N/A</v>
      </c>
      <c r="AZ26" s="34"/>
      <c r="BA26" s="34"/>
      <c r="BB26" s="34"/>
      <c r="BC26" s="34"/>
      <c r="BD26" s="34"/>
      <c r="BE26" s="34"/>
      <c r="BF26" s="34" t="s">
        <v>166</v>
      </c>
      <c r="BG26" s="177">
        <v>165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0" s="88" customFormat="1" ht="24" customHeight="1" thickTop="1" thickBot="1" x14ac:dyDescent="0.35">
      <c r="C27" s="432" t="str">
        <f>IF(E3="أنثى","منقطعة عن التسجيل في","منقطع عن التسجيل في")</f>
        <v>منقطع عن التسجيل في</v>
      </c>
      <c r="D27" s="432"/>
      <c r="E27" s="432"/>
      <c r="F27" s="432"/>
      <c r="G27" s="432"/>
      <c r="H27" s="432"/>
      <c r="L27" s="417" t="s">
        <v>25</v>
      </c>
      <c r="M27" s="417"/>
      <c r="N27" s="435" t="e">
        <f>IF(E2="الرابعة حديث",7000,0)</f>
        <v>#N/A</v>
      </c>
      <c r="O27" s="435"/>
      <c r="P27" s="435"/>
      <c r="Q27" s="435"/>
      <c r="R27" s="435"/>
      <c r="T27" s="417" t="s">
        <v>205</v>
      </c>
      <c r="U27" s="417"/>
      <c r="V27" s="417"/>
      <c r="W27" s="416">
        <f>IF(Z28="إعادة ارتباط",90000,IF(F5=AO4,COUNT(B28:B32)*1500,IF(OR(F5=AO1,F5=AO2,F5=AO5,F5=AO8),COUNT(B28:B32)*12000,IF(OR(F5=AO3,F5=AO6),COUNT(B28:B32)*7500,COUNT(B28:B32)*15000))))</f>
        <v>0</v>
      </c>
      <c r="X27" s="416"/>
      <c r="Y27" s="416"/>
      <c r="Z27" s="417" t="s">
        <v>71</v>
      </c>
      <c r="AA27" s="417"/>
      <c r="AB27" s="417"/>
      <c r="AC27" s="417"/>
      <c r="AD27" s="416">
        <f>IF(W27=0,2000,4000)</f>
        <v>2000</v>
      </c>
      <c r="AE27" s="416"/>
      <c r="AF27" s="416"/>
      <c r="AG27" s="416"/>
      <c r="AH27" s="260"/>
      <c r="AI27" s="260"/>
      <c r="AJ27" s="260"/>
      <c r="AK27" s="260"/>
      <c r="AL27" s="85" t="e">
        <f t="shared" si="13"/>
        <v>#N/A</v>
      </c>
      <c r="AM27" s="1">
        <v>20</v>
      </c>
      <c r="AU27" s="34">
        <v>23</v>
      </c>
      <c r="AV27" s="34">
        <v>60</v>
      </c>
      <c r="AW27" s="34" t="s">
        <v>128</v>
      </c>
      <c r="AX27" s="34">
        <f t="shared" si="14"/>
        <v>0</v>
      </c>
      <c r="AY27" s="34" t="e">
        <f t="shared" si="14"/>
        <v>#N/A</v>
      </c>
      <c r="AZ27" s="34"/>
      <c r="BA27" s="34"/>
      <c r="BB27" s="34"/>
      <c r="BC27" s="34"/>
      <c r="BD27" s="34"/>
      <c r="BE27" s="34"/>
      <c r="BF27" s="34" t="s">
        <v>169</v>
      </c>
      <c r="BG27" s="177">
        <v>166</v>
      </c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0" s="88" customFormat="1" ht="26.4" customHeight="1" thickTop="1" thickBot="1" x14ac:dyDescent="0.35">
      <c r="B28" s="88" t="str">
        <f>IFERROR(SMALL($C$35:$C$39,AM8),"")</f>
        <v/>
      </c>
      <c r="C28" s="432" t="str">
        <f>IF(B28&lt;&gt;"",VLOOKUP(B28,$C$35:$D$39,2,0),"")</f>
        <v/>
      </c>
      <c r="D28" s="432"/>
      <c r="E28" s="432"/>
      <c r="F28" s="432"/>
      <c r="G28" s="432"/>
      <c r="H28" s="432"/>
      <c r="L28" s="437" t="s">
        <v>207</v>
      </c>
      <c r="M28" s="437"/>
      <c r="N28" s="435" t="e">
        <f>IF(Z28="إعادة ارتباط",(T25*2),T25)</f>
        <v>#N/A</v>
      </c>
      <c r="O28" s="435"/>
      <c r="P28" s="435"/>
      <c r="Q28" s="435"/>
      <c r="R28" s="435"/>
      <c r="T28" s="417" t="s">
        <v>23</v>
      </c>
      <c r="U28" s="417"/>
      <c r="V28" s="417"/>
      <c r="W28" s="423" t="e">
        <f>N27+W27+AD27+N28-AB5</f>
        <v>#N/A</v>
      </c>
      <c r="X28" s="423"/>
      <c r="Y28" s="138"/>
      <c r="Z28" s="428" t="str">
        <f>IFERROR(VLOOKUP(E1,ورقة2!A2:J1000,10,0),"")</f>
        <v/>
      </c>
      <c r="AA28" s="428"/>
      <c r="AB28" s="428"/>
      <c r="AC28" s="428"/>
      <c r="AD28" s="428"/>
      <c r="AE28" s="428"/>
      <c r="AF28" s="428"/>
      <c r="AG28" s="139"/>
      <c r="AH28" s="260"/>
      <c r="AI28" s="260"/>
      <c r="AJ28" s="260"/>
      <c r="AK28" s="260"/>
      <c r="AL28" s="85" t="e">
        <f t="shared" ref="AL28:AL33" si="15">IF(J17&lt;&gt;"",J17,"")</f>
        <v>#N/A</v>
      </c>
      <c r="AM28" s="1">
        <v>21</v>
      </c>
      <c r="AU28" s="34">
        <v>24</v>
      </c>
      <c r="AV28" s="34">
        <v>61</v>
      </c>
      <c r="AW28" s="34" t="s">
        <v>129</v>
      </c>
      <c r="AX28" s="34">
        <f t="shared" si="14"/>
        <v>0</v>
      </c>
      <c r="AY28" s="34" t="e">
        <f t="shared" si="14"/>
        <v>#N/A</v>
      </c>
      <c r="AZ28" s="34"/>
      <c r="BA28" s="34"/>
      <c r="BB28" s="34"/>
      <c r="BC28" s="34"/>
      <c r="BD28" s="34"/>
      <c r="BE28" s="34"/>
      <c r="BF28" s="34" t="s">
        <v>153</v>
      </c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0" s="88" customFormat="1" ht="26.4" customHeight="1" thickTop="1" thickBot="1" x14ac:dyDescent="0.35">
      <c r="B29" s="88" t="str">
        <f t="shared" ref="B29:B32" si="16">IFERROR(SMALL($C$35:$C$39,AM9),"")</f>
        <v/>
      </c>
      <c r="C29" s="432" t="str">
        <f t="shared" ref="C29:C31" si="17">IF(B29&lt;&gt;"",VLOOKUP(B29,$C$35:$D$39,2,0),"")</f>
        <v/>
      </c>
      <c r="D29" s="432"/>
      <c r="E29" s="432"/>
      <c r="F29" s="432"/>
      <c r="G29" s="432"/>
      <c r="H29" s="432"/>
      <c r="L29" s="417" t="s">
        <v>20</v>
      </c>
      <c r="M29" s="417"/>
      <c r="N29" s="436" t="s">
        <v>82</v>
      </c>
      <c r="O29" s="436"/>
      <c r="P29" s="436"/>
      <c r="Q29" s="436"/>
      <c r="R29" s="436"/>
      <c r="T29" s="417" t="s">
        <v>24</v>
      </c>
      <c r="U29" s="417"/>
      <c r="V29" s="417"/>
      <c r="W29" s="440" t="e">
        <f>IF(N29="نعم",(الإستمارة!T1+الإستمارة!T2)+AD27+(W28-(الإستمارة!T1+الإستمارة!T2)-AD27)/2,W28)</f>
        <v>#N/A</v>
      </c>
      <c r="X29" s="440"/>
      <c r="Y29" s="440"/>
      <c r="Z29" s="417" t="s">
        <v>26</v>
      </c>
      <c r="AA29" s="417"/>
      <c r="AB29" s="417"/>
      <c r="AC29" s="417"/>
      <c r="AD29" s="416" t="e">
        <f>W28-W29</f>
        <v>#N/A</v>
      </c>
      <c r="AE29" s="416"/>
      <c r="AF29" s="416"/>
      <c r="AG29" s="416"/>
      <c r="AH29" s="260"/>
      <c r="AI29" s="260"/>
      <c r="AJ29" s="260"/>
      <c r="AK29" s="260"/>
      <c r="AL29" s="85" t="e">
        <f t="shared" si="15"/>
        <v>#N/A</v>
      </c>
      <c r="AM29" s="1">
        <v>22</v>
      </c>
      <c r="AU29" s="34">
        <v>25</v>
      </c>
      <c r="AV29" s="34">
        <v>62</v>
      </c>
      <c r="AW29" s="34" t="s">
        <v>120</v>
      </c>
      <c r="AX29" s="34">
        <f t="shared" si="14"/>
        <v>0</v>
      </c>
      <c r="AY29" s="34" t="e">
        <f t="shared" si="14"/>
        <v>#N/A</v>
      </c>
      <c r="AZ29" s="34"/>
      <c r="BA29" s="34"/>
      <c r="BB29" s="34"/>
      <c r="BC29" s="34"/>
      <c r="BD29" s="34"/>
      <c r="BE29" s="34"/>
      <c r="BF29" s="34" t="s">
        <v>174</v>
      </c>
      <c r="BG29" s="177">
        <v>169</v>
      </c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</row>
    <row r="30" spans="1:80" s="88" customFormat="1" ht="26.4" customHeight="1" thickTop="1" thickBot="1" x14ac:dyDescent="0.35">
      <c r="B30" s="88" t="str">
        <f t="shared" si="16"/>
        <v/>
      </c>
      <c r="C30" s="432" t="str">
        <f t="shared" si="17"/>
        <v/>
      </c>
      <c r="D30" s="432"/>
      <c r="E30" s="432"/>
      <c r="F30" s="432"/>
      <c r="G30" s="432"/>
      <c r="H30" s="432"/>
      <c r="P30" s="441" t="s">
        <v>72</v>
      </c>
      <c r="Q30" s="441"/>
      <c r="R30" s="441"/>
      <c r="S30" s="441"/>
      <c r="T30" s="441"/>
      <c r="U30" s="224" t="s">
        <v>217</v>
      </c>
      <c r="V30" s="57">
        <f>G15+O15+W15+AE15+G24+O24+W24+AE24</f>
        <v>0</v>
      </c>
      <c r="W30" s="442" t="s">
        <v>73</v>
      </c>
      <c r="X30" s="442"/>
      <c r="Y30" s="442"/>
      <c r="Z30" s="442"/>
      <c r="AA30" s="224" t="s">
        <v>218</v>
      </c>
      <c r="AB30" s="57">
        <f>H15+P15+X15+AF15+H24+P24+X24+AF24</f>
        <v>0</v>
      </c>
      <c r="AC30" s="439" t="s">
        <v>74</v>
      </c>
      <c r="AD30" s="439"/>
      <c r="AE30" s="439"/>
      <c r="AF30" s="224" t="s">
        <v>219</v>
      </c>
      <c r="AG30" s="57">
        <f>I15+Q15+Y15+AG15+I24+Q24+Y24+AG24</f>
        <v>0</v>
      </c>
      <c r="AH30" s="260"/>
      <c r="AI30" s="260"/>
      <c r="AJ30" s="260"/>
      <c r="AK30" s="260"/>
      <c r="AL30" s="85" t="e">
        <f t="shared" si="15"/>
        <v>#N/A</v>
      </c>
      <c r="AM30" s="1">
        <v>23</v>
      </c>
      <c r="AU30" s="34">
        <v>26</v>
      </c>
      <c r="AV30" s="34">
        <f>L22</f>
        <v>0</v>
      </c>
      <c r="AW30" s="34" t="str">
        <f>M22</f>
        <v>اكتب اسم المادة الاختيارية</v>
      </c>
      <c r="AX30" s="34">
        <f t="shared" si="14"/>
        <v>0</v>
      </c>
      <c r="AY30" s="34" t="e">
        <f t="shared" si="14"/>
        <v>#N/A</v>
      </c>
      <c r="AZ30" s="34"/>
      <c r="BA30" s="34"/>
      <c r="BB30" s="34"/>
      <c r="BC30" s="34"/>
      <c r="BD30" s="34"/>
      <c r="BE30" s="34"/>
      <c r="BF30" s="34" t="s">
        <v>173</v>
      </c>
      <c r="BG30" s="177">
        <v>170</v>
      </c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</row>
    <row r="31" spans="1:80" s="3" customFormat="1" ht="26.4" customHeight="1" thickTop="1" thickBot="1" x14ac:dyDescent="0.35">
      <c r="B31" s="88" t="str">
        <f t="shared" si="16"/>
        <v/>
      </c>
      <c r="C31" s="432" t="str">
        <f t="shared" si="17"/>
        <v/>
      </c>
      <c r="D31" s="432"/>
      <c r="E31" s="432"/>
      <c r="F31" s="432"/>
      <c r="G31" s="432"/>
      <c r="H31" s="432"/>
      <c r="I31" s="136"/>
      <c r="J31" s="438" t="s">
        <v>206</v>
      </c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8"/>
      <c r="AF31" s="438"/>
      <c r="AG31" s="136"/>
      <c r="AH31" s="136"/>
      <c r="AI31" s="136"/>
      <c r="AJ31" s="136"/>
      <c r="AK31" s="136"/>
      <c r="AL31" s="85" t="e">
        <f t="shared" si="15"/>
        <v>#N/A</v>
      </c>
      <c r="AM31" s="1">
        <v>24</v>
      </c>
      <c r="AU31" s="34">
        <v>27</v>
      </c>
      <c r="AV31" s="34">
        <v>63</v>
      </c>
      <c r="AW31" s="34" t="s">
        <v>130</v>
      </c>
      <c r="AX31" s="34">
        <f>X8</f>
        <v>0</v>
      </c>
      <c r="AY31" s="34" t="e">
        <f>Y8</f>
        <v>#N/A</v>
      </c>
      <c r="AZ31" s="34"/>
      <c r="BA31" s="34"/>
      <c r="BB31" s="34"/>
      <c r="BC31" s="34"/>
      <c r="BD31" s="34"/>
      <c r="BE31" s="34"/>
      <c r="BF31" s="34" t="s">
        <v>177</v>
      </c>
      <c r="BG31" s="177">
        <v>174</v>
      </c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</row>
    <row r="32" spans="1:80" s="3" customFormat="1" ht="26.4" customHeight="1" thickTop="1" thickBot="1" x14ac:dyDescent="0.35">
      <c r="B32" s="88" t="str">
        <f t="shared" si="16"/>
        <v/>
      </c>
      <c r="C32" s="432" t="str">
        <f>IF(B32&lt;&gt;"",VLOOKUP(B32,$C$35:$D$39,2,0),"")</f>
        <v/>
      </c>
      <c r="D32" s="432"/>
      <c r="E32" s="432"/>
      <c r="F32" s="432"/>
      <c r="G32" s="432"/>
      <c r="H32" s="432"/>
      <c r="I32" s="136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38"/>
      <c r="U32" s="438"/>
      <c r="V32" s="438"/>
      <c r="W32" s="438"/>
      <c r="X32" s="438"/>
      <c r="Y32" s="438"/>
      <c r="Z32" s="438"/>
      <c r="AA32" s="438"/>
      <c r="AB32" s="438"/>
      <c r="AC32" s="438"/>
      <c r="AD32" s="438"/>
      <c r="AE32" s="438"/>
      <c r="AF32" s="438"/>
      <c r="AG32" s="136"/>
      <c r="AH32" s="136"/>
      <c r="AI32" s="136"/>
      <c r="AJ32" s="136"/>
      <c r="AK32" s="136"/>
      <c r="AL32" s="85" t="e">
        <f t="shared" si="15"/>
        <v>#N/A</v>
      </c>
      <c r="AM32" s="1">
        <v>25</v>
      </c>
      <c r="AU32" s="34">
        <v>28</v>
      </c>
      <c r="AV32" s="34">
        <v>64</v>
      </c>
      <c r="AW32" s="34" t="s">
        <v>131</v>
      </c>
      <c r="AX32" s="34">
        <f t="shared" ref="AX32:AY32" si="18">X9</f>
        <v>0</v>
      </c>
      <c r="AY32" s="34" t="e">
        <f t="shared" si="18"/>
        <v>#N/A</v>
      </c>
      <c r="AZ32" s="34"/>
      <c r="BA32" s="34"/>
      <c r="BB32" s="34"/>
      <c r="BC32" s="34"/>
      <c r="BD32" s="34"/>
      <c r="BE32" s="34"/>
      <c r="BF32" s="34" t="s">
        <v>178</v>
      </c>
      <c r="BG32" s="177">
        <v>175</v>
      </c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</row>
    <row r="33" spans="2:80" s="3" customFormat="1" ht="16.8" thickTop="1" thickBot="1" x14ac:dyDescent="0.35">
      <c r="C33" s="4"/>
      <c r="D33" s="26"/>
      <c r="E33" s="26"/>
      <c r="F33" s="26"/>
      <c r="G33" s="26"/>
      <c r="J33" s="25"/>
      <c r="L33" s="4"/>
      <c r="M33" s="26"/>
      <c r="N33" s="26"/>
      <c r="O33" s="26"/>
      <c r="AL33" s="85" t="e">
        <f t="shared" si="15"/>
        <v>#N/A</v>
      </c>
      <c r="AM33" s="1">
        <v>26</v>
      </c>
      <c r="AU33" s="34">
        <v>29</v>
      </c>
      <c r="AV33" s="34">
        <v>65</v>
      </c>
      <c r="AW33" s="34" t="s">
        <v>132</v>
      </c>
      <c r="AX33" s="34">
        <f t="shared" ref="AX33:AY33" si="19">X10</f>
        <v>0</v>
      </c>
      <c r="AY33" s="34" t="e">
        <f t="shared" si="19"/>
        <v>#N/A</v>
      </c>
      <c r="AZ33" s="34"/>
      <c r="BA33" s="34"/>
      <c r="BB33" s="34"/>
      <c r="BC33" s="34"/>
      <c r="BD33" s="34"/>
      <c r="BE33" s="34"/>
      <c r="BF33" s="34" t="s">
        <v>175</v>
      </c>
      <c r="BG33" s="177">
        <v>177</v>
      </c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</row>
    <row r="34" spans="2:80" s="3" customFormat="1" ht="16.8" thickTop="1" thickBot="1" x14ac:dyDescent="0.35">
      <c r="C34" s="5"/>
      <c r="D34" s="26"/>
      <c r="E34" s="26"/>
      <c r="F34" s="26"/>
      <c r="G34" s="26"/>
      <c r="J34" s="25"/>
      <c r="L34" s="4"/>
      <c r="M34" s="26"/>
      <c r="N34" s="26"/>
      <c r="O34" s="26"/>
      <c r="AL34" s="85" t="e">
        <f t="shared" ref="AL34:AL39" si="20">IF(R8&lt;&gt;"",R8,"")</f>
        <v>#N/A</v>
      </c>
      <c r="AM34" s="1">
        <v>27</v>
      </c>
      <c r="AU34" s="34">
        <v>30</v>
      </c>
      <c r="AV34" s="34">
        <v>66</v>
      </c>
      <c r="AW34" s="34" t="s">
        <v>133</v>
      </c>
      <c r="AX34" s="34">
        <f t="shared" ref="AX34:AY34" si="21">X11</f>
        <v>0</v>
      </c>
      <c r="AY34" s="34" t="e">
        <f t="shared" si="21"/>
        <v>#N/A</v>
      </c>
      <c r="AZ34" s="34"/>
      <c r="BA34" s="34"/>
      <c r="BB34" s="34"/>
      <c r="BC34" s="34"/>
      <c r="BD34" s="34"/>
      <c r="BE34" s="34"/>
      <c r="BF34" s="34" t="s">
        <v>176</v>
      </c>
      <c r="BG34" s="177">
        <v>178</v>
      </c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</row>
    <row r="35" spans="2:80" s="3" customFormat="1" ht="16.8" thickTop="1" thickBot="1" x14ac:dyDescent="0.35">
      <c r="B35" s="24"/>
      <c r="C35" s="24" t="e">
        <f>IF(VLOOKUP(E1,ورقة2!A2:Z9887,22,0)="م",1,"")</f>
        <v>#N/A</v>
      </c>
      <c r="D35" s="163" t="s">
        <v>211</v>
      </c>
      <c r="E35" s="16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AL35" s="85" t="e">
        <f t="shared" si="20"/>
        <v>#N/A</v>
      </c>
      <c r="AM35" s="1">
        <v>28</v>
      </c>
      <c r="AU35" s="34">
        <v>31</v>
      </c>
      <c r="AV35" s="34">
        <v>67</v>
      </c>
      <c r="AW35" s="34" t="s">
        <v>134</v>
      </c>
      <c r="AX35" s="34">
        <f t="shared" ref="AX35:AY35" si="22">X12</f>
        <v>0</v>
      </c>
      <c r="AY35" s="34" t="e">
        <f t="shared" si="22"/>
        <v>#N/A</v>
      </c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</row>
    <row r="36" spans="2:80" s="3" customFormat="1" ht="16.8" thickTop="1" thickBot="1" x14ac:dyDescent="0.35">
      <c r="C36" s="4" t="e">
        <f>IF(VLOOKUP(E1,ورقة2!A1:Z5867,23,0)="م",3,"")</f>
        <v>#N/A</v>
      </c>
      <c r="D36" s="163" t="s">
        <v>212</v>
      </c>
      <c r="E36" s="164"/>
      <c r="F36" s="26"/>
      <c r="G36" s="26"/>
      <c r="J36" s="25"/>
      <c r="L36" s="4"/>
      <c r="M36" s="26"/>
      <c r="N36" s="26"/>
      <c r="O36" s="26"/>
      <c r="AL36" s="85" t="e">
        <f t="shared" si="20"/>
        <v>#N/A</v>
      </c>
      <c r="AM36" s="1">
        <v>29</v>
      </c>
      <c r="AU36" s="34">
        <v>32</v>
      </c>
      <c r="AV36" s="34">
        <v>68</v>
      </c>
      <c r="AW36" s="34" t="s">
        <v>135</v>
      </c>
      <c r="AX36" s="34">
        <f t="shared" ref="AX36:AY36" si="23">X13</f>
        <v>0</v>
      </c>
      <c r="AY36" s="34" t="e">
        <f t="shared" si="23"/>
        <v>#N/A</v>
      </c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</row>
    <row r="37" spans="2:80" s="3" customFormat="1" ht="16.8" thickTop="1" thickBot="1" x14ac:dyDescent="0.35">
      <c r="C37" s="4" t="e">
        <f>IF(VLOOKUP(E1,ورقة2!A2:Z9887,24,0)="م",3,"")</f>
        <v>#N/A</v>
      </c>
      <c r="D37" s="163" t="s">
        <v>213</v>
      </c>
      <c r="E37" s="164"/>
      <c r="F37" s="26"/>
      <c r="G37" s="26"/>
      <c r="J37" s="25"/>
      <c r="L37" s="4"/>
      <c r="M37" s="26"/>
      <c r="N37" s="26"/>
      <c r="O37" s="26"/>
      <c r="AL37" s="85" t="e">
        <f t="shared" si="20"/>
        <v>#N/A</v>
      </c>
      <c r="AM37" s="1">
        <v>30</v>
      </c>
      <c r="AU37" s="34">
        <v>33</v>
      </c>
      <c r="AV37" s="34">
        <v>69</v>
      </c>
      <c r="AW37" s="34" t="s">
        <v>136</v>
      </c>
      <c r="AX37" s="34">
        <f>AF8</f>
        <v>0</v>
      </c>
      <c r="AY37" s="34" t="e">
        <f>AG8</f>
        <v>#N/A</v>
      </c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</row>
    <row r="38" spans="2:80" s="3" customFormat="1" ht="16.8" thickTop="1" thickBot="1" x14ac:dyDescent="0.35">
      <c r="C38" s="4" t="e">
        <f>IF(VLOOKUP(E1,ورقة2!A2:Z9887,25,0)="م",4,"")</f>
        <v>#N/A</v>
      </c>
      <c r="D38" s="163" t="s">
        <v>215</v>
      </c>
      <c r="E38" s="164"/>
      <c r="F38" s="26"/>
      <c r="G38" s="26"/>
      <c r="J38" s="25"/>
      <c r="L38" s="4"/>
      <c r="M38" s="26"/>
      <c r="N38" s="26"/>
      <c r="O38" s="26"/>
      <c r="AL38" s="85" t="e">
        <f t="shared" si="20"/>
        <v>#N/A</v>
      </c>
      <c r="AM38" s="1">
        <v>31</v>
      </c>
      <c r="AU38" s="34">
        <v>34</v>
      </c>
      <c r="AV38" s="34">
        <v>70</v>
      </c>
      <c r="AW38" s="34" t="s">
        <v>137</v>
      </c>
      <c r="AX38" s="34">
        <f t="shared" ref="AX38:AY38" si="24">AF9</f>
        <v>0</v>
      </c>
      <c r="AY38" s="34" t="e">
        <f t="shared" si="24"/>
        <v>#N/A</v>
      </c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</row>
    <row r="39" spans="2:80" s="3" customFormat="1" ht="16.8" thickTop="1" thickBot="1" x14ac:dyDescent="0.35">
      <c r="C39" s="4" t="e">
        <f>IF(VLOOKUP(E1,ورقة2!A2:Z9887,26,0)="م",5,"")</f>
        <v>#N/A</v>
      </c>
      <c r="D39" s="163" t="s">
        <v>294</v>
      </c>
      <c r="E39" s="26"/>
      <c r="F39" s="26"/>
      <c r="G39" s="26"/>
      <c r="J39" s="25"/>
      <c r="L39" s="4"/>
      <c r="M39" s="26"/>
      <c r="N39" s="26"/>
      <c r="O39" s="26"/>
      <c r="AL39" s="85" t="e">
        <f t="shared" si="20"/>
        <v>#N/A</v>
      </c>
      <c r="AM39" s="1">
        <v>32</v>
      </c>
      <c r="AU39" s="34">
        <v>35</v>
      </c>
      <c r="AV39" s="34">
        <v>71</v>
      </c>
      <c r="AW39" s="34" t="s">
        <v>138</v>
      </c>
      <c r="AX39" s="34">
        <f t="shared" ref="AX39:AY39" si="25">AF10</f>
        <v>0</v>
      </c>
      <c r="AY39" s="34" t="e">
        <f t="shared" si="25"/>
        <v>#N/A</v>
      </c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</row>
    <row r="40" spans="2:80" s="3" customFormat="1" ht="16.8" thickTop="1" thickBot="1" x14ac:dyDescent="0.35">
      <c r="C40" s="4"/>
      <c r="D40" s="26"/>
      <c r="E40" s="26"/>
      <c r="F40" s="26"/>
      <c r="G40" s="26"/>
      <c r="J40" s="25"/>
      <c r="L40" s="4"/>
      <c r="M40" s="26"/>
      <c r="N40" s="26"/>
      <c r="O40" s="26"/>
      <c r="AL40" s="85" t="e">
        <f t="shared" ref="AL40:AL45" si="26">IF(Z8&lt;&gt;"",Z8,"")</f>
        <v>#N/A</v>
      </c>
      <c r="AM40" s="1">
        <v>33</v>
      </c>
      <c r="AU40" s="34">
        <v>36</v>
      </c>
      <c r="AV40" s="34">
        <v>72</v>
      </c>
      <c r="AW40" s="34" t="s">
        <v>139</v>
      </c>
      <c r="AX40" s="34">
        <f t="shared" ref="AX40:AY40" si="27">AF11</f>
        <v>0</v>
      </c>
      <c r="AY40" s="34" t="e">
        <f t="shared" si="27"/>
        <v>#N/A</v>
      </c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</row>
    <row r="41" spans="2:80" s="3" customFormat="1" ht="16.8" thickTop="1" thickBot="1" x14ac:dyDescent="0.35">
      <c r="C41" s="4"/>
      <c r="D41" s="26"/>
      <c r="E41" s="26"/>
      <c r="F41" s="26"/>
      <c r="G41" s="26"/>
      <c r="J41" s="25"/>
      <c r="L41" s="4"/>
      <c r="M41" s="26"/>
      <c r="N41" s="26"/>
      <c r="O41" s="26"/>
      <c r="AL41" s="85" t="e">
        <f t="shared" si="26"/>
        <v>#N/A</v>
      </c>
      <c r="AM41" s="1">
        <v>34</v>
      </c>
      <c r="AU41" s="34">
        <v>37</v>
      </c>
      <c r="AV41" s="34">
        <v>73</v>
      </c>
      <c r="AW41" s="34" t="s">
        <v>120</v>
      </c>
      <c r="AX41" s="34">
        <f t="shared" ref="AX41:AY41" si="28">AF12</f>
        <v>0</v>
      </c>
      <c r="AY41" s="34" t="e">
        <f t="shared" si="28"/>
        <v>#N/A</v>
      </c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</row>
    <row r="42" spans="2:80" s="3" customFormat="1" ht="16.8" thickTop="1" thickBot="1" x14ac:dyDescent="0.35">
      <c r="C42" s="5"/>
      <c r="D42" s="5"/>
      <c r="E42" s="6"/>
      <c r="F42" s="7"/>
      <c r="H42" s="27"/>
      <c r="I42" s="27"/>
      <c r="J42" s="27"/>
      <c r="K42" s="27"/>
      <c r="L42" s="8"/>
      <c r="M42" s="8"/>
      <c r="N42" s="28"/>
      <c r="O42" s="28"/>
      <c r="P42" s="28"/>
      <c r="Q42" s="28"/>
      <c r="AL42" s="85" t="e">
        <f t="shared" si="26"/>
        <v>#N/A</v>
      </c>
      <c r="AM42" s="1">
        <v>35</v>
      </c>
      <c r="AU42" s="34">
        <v>38</v>
      </c>
      <c r="AV42" s="34">
        <f>AB13</f>
        <v>0</v>
      </c>
      <c r="AW42" s="34" t="str">
        <f>AC13</f>
        <v>اكتب اسم المادة الاختيارية</v>
      </c>
      <c r="AX42" s="34">
        <f t="shared" ref="AX42:AY42" si="29">AF13</f>
        <v>0</v>
      </c>
      <c r="AY42" s="34" t="e">
        <f t="shared" si="29"/>
        <v>#N/A</v>
      </c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2:80" s="3" customFormat="1" ht="18.600000000000001" thickTop="1" thickBot="1" x14ac:dyDescent="0.35">
      <c r="C43" s="9"/>
      <c r="D43" s="5"/>
      <c r="E43" s="5"/>
      <c r="F43" s="5"/>
      <c r="G43" s="7"/>
      <c r="H43" s="27"/>
      <c r="I43" s="27"/>
      <c r="J43" s="27"/>
      <c r="K43" s="27"/>
      <c r="L43" s="8"/>
      <c r="M43" s="8"/>
      <c r="N43" s="28"/>
      <c r="O43" s="28"/>
      <c r="P43" s="28"/>
      <c r="Q43" s="28"/>
      <c r="AL43" s="85" t="e">
        <f t="shared" si="26"/>
        <v>#N/A</v>
      </c>
      <c r="AM43" s="1">
        <v>36</v>
      </c>
      <c r="AU43" s="34">
        <v>39</v>
      </c>
      <c r="AV43" s="34">
        <v>74</v>
      </c>
      <c r="AW43" s="34" t="s">
        <v>140</v>
      </c>
      <c r="AX43" s="34">
        <f>X17</f>
        <v>0</v>
      </c>
      <c r="AY43" s="34" t="e">
        <f>Y17</f>
        <v>#N/A</v>
      </c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2:80" s="3" customFormat="1" ht="18.600000000000001" thickTop="1" thickBot="1" x14ac:dyDescent="0.35">
      <c r="B44" s="10"/>
      <c r="C44" s="10"/>
      <c r="D44" s="10"/>
      <c r="E44" s="10"/>
      <c r="F44" s="10"/>
      <c r="G44" s="11"/>
      <c r="H44" s="9"/>
      <c r="I44" s="9"/>
      <c r="J44" s="9"/>
      <c r="K44" s="9"/>
      <c r="L44" s="26"/>
      <c r="M44" s="26"/>
      <c r="N44" s="28"/>
      <c r="O44" s="28"/>
      <c r="P44" s="28"/>
      <c r="Q44" s="28"/>
      <c r="AL44" s="85" t="e">
        <f t="shared" si="26"/>
        <v>#N/A</v>
      </c>
      <c r="AM44" s="1">
        <v>37</v>
      </c>
      <c r="AU44" s="34">
        <v>40</v>
      </c>
      <c r="AV44" s="34">
        <v>75</v>
      </c>
      <c r="AW44" s="34" t="s">
        <v>141</v>
      </c>
      <c r="AX44" s="34">
        <f t="shared" ref="AX44:AY44" si="30">X18</f>
        <v>0</v>
      </c>
      <c r="AY44" s="34" t="e">
        <f t="shared" si="30"/>
        <v>#N/A</v>
      </c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2:80" s="3" customFormat="1" ht="16.8" thickTop="1" thickBot="1" x14ac:dyDescent="0.35">
      <c r="B45" s="26"/>
      <c r="C45" s="26"/>
      <c r="D45" s="26"/>
      <c r="G45" s="26"/>
      <c r="H45" s="26"/>
      <c r="I45" s="26"/>
      <c r="J45" s="26"/>
      <c r="K45" s="26"/>
      <c r="L45" s="26"/>
      <c r="M45" s="12"/>
      <c r="N45" s="28"/>
      <c r="O45" s="28"/>
      <c r="P45" s="28"/>
      <c r="Q45" s="28"/>
      <c r="AL45" s="85" t="e">
        <f t="shared" si="26"/>
        <v>#N/A</v>
      </c>
      <c r="AM45" s="1">
        <v>38</v>
      </c>
      <c r="AU45" s="34">
        <v>41</v>
      </c>
      <c r="AV45" s="34">
        <v>76</v>
      </c>
      <c r="AW45" s="34" t="s">
        <v>142</v>
      </c>
      <c r="AX45" s="34">
        <f t="shared" ref="AX45:AY45" si="31">X19</f>
        <v>0</v>
      </c>
      <c r="AY45" s="34" t="e">
        <f t="shared" si="31"/>
        <v>#N/A</v>
      </c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2:80" s="3" customFormat="1" ht="18.600000000000001" thickTop="1" thickBot="1" x14ac:dyDescent="0.35">
      <c r="B46" s="9"/>
      <c r="C46" s="11"/>
      <c r="D46" s="11"/>
      <c r="E46" s="11"/>
      <c r="F46" s="11"/>
      <c r="G46" s="26"/>
      <c r="H46" s="26"/>
      <c r="I46" s="26"/>
      <c r="J46" s="26"/>
      <c r="K46" s="26"/>
      <c r="L46" s="26"/>
      <c r="M46" s="8"/>
      <c r="N46" s="8"/>
      <c r="O46" s="13"/>
      <c r="P46" s="13"/>
      <c r="Q46" s="13"/>
      <c r="AL46" s="85" t="e">
        <f t="shared" ref="AL46:AL51" si="32">IF(R17&lt;&gt;"",R17,"")</f>
        <v>#N/A</v>
      </c>
      <c r="AM46" s="1">
        <v>39</v>
      </c>
      <c r="AU46" s="34">
        <v>42</v>
      </c>
      <c r="AV46" s="34">
        <v>77</v>
      </c>
      <c r="AW46" s="34" t="s">
        <v>143</v>
      </c>
      <c r="AX46" s="34">
        <f t="shared" ref="AX46:AY46" si="33">X20</f>
        <v>0</v>
      </c>
      <c r="AY46" s="34" t="e">
        <f t="shared" si="33"/>
        <v>#N/A</v>
      </c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2:80" s="3" customFormat="1" ht="16.8" thickTop="1" thickBot="1" x14ac:dyDescent="0.35">
      <c r="AL47" s="85" t="e">
        <f t="shared" si="32"/>
        <v>#N/A</v>
      </c>
      <c r="AM47" s="1">
        <v>40</v>
      </c>
      <c r="AU47" s="34">
        <v>43</v>
      </c>
      <c r="AV47" s="34">
        <v>78</v>
      </c>
      <c r="AW47" s="34" t="s">
        <v>144</v>
      </c>
      <c r="AX47" s="34">
        <f t="shared" ref="AX47:AY47" si="34">X21</f>
        <v>0</v>
      </c>
      <c r="AY47" s="34" t="e">
        <f t="shared" si="34"/>
        <v>#N/A</v>
      </c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</row>
    <row r="48" spans="2:80" s="3" customFormat="1" ht="16.8" thickTop="1" thickBot="1" x14ac:dyDescent="0.3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AL48" s="85" t="e">
        <f t="shared" si="32"/>
        <v>#N/A</v>
      </c>
      <c r="AM48" s="1">
        <v>41</v>
      </c>
      <c r="AU48" s="34">
        <v>44</v>
      </c>
      <c r="AV48" s="34">
        <v>79</v>
      </c>
      <c r="AW48" s="34" t="s">
        <v>145</v>
      </c>
      <c r="AX48" s="34">
        <f t="shared" ref="AX48:AY48" si="35">X22</f>
        <v>0</v>
      </c>
      <c r="AY48" s="34" t="e">
        <f t="shared" si="35"/>
        <v>#N/A</v>
      </c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</row>
    <row r="49" spans="2:80" s="3" customFormat="1" ht="16.8" thickTop="1" thickBot="1" x14ac:dyDescent="0.3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AL49" s="85" t="e">
        <f t="shared" si="32"/>
        <v>#N/A</v>
      </c>
      <c r="AM49" s="1">
        <v>42</v>
      </c>
      <c r="AU49" s="34">
        <v>45</v>
      </c>
      <c r="AV49" s="34">
        <v>80</v>
      </c>
      <c r="AW49" s="34" t="s">
        <v>146</v>
      </c>
      <c r="AX49" s="34">
        <f>AF17</f>
        <v>0</v>
      </c>
      <c r="AY49" s="34" t="e">
        <f>AG17</f>
        <v>#N/A</v>
      </c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</row>
    <row r="50" spans="2:80" s="3" customFormat="1" ht="18.600000000000001" thickTop="1" thickBot="1" x14ac:dyDescent="0.35">
      <c r="B50" s="14"/>
      <c r="C50" s="14"/>
      <c r="D50" s="14"/>
      <c r="E50" s="14"/>
      <c r="F50" s="14"/>
      <c r="G50" s="14"/>
      <c r="H50" s="15"/>
      <c r="I50" s="15"/>
      <c r="J50" s="15"/>
      <c r="K50" s="9"/>
      <c r="L50" s="9"/>
      <c r="M50" s="15"/>
      <c r="N50" s="15"/>
      <c r="O50" s="14"/>
      <c r="P50" s="14"/>
      <c r="Q50" s="14"/>
      <c r="AL50" s="85" t="e">
        <f t="shared" si="32"/>
        <v>#N/A</v>
      </c>
      <c r="AM50" s="1">
        <v>43</v>
      </c>
      <c r="AU50" s="34">
        <v>46</v>
      </c>
      <c r="AV50" s="34">
        <v>81</v>
      </c>
      <c r="AW50" s="34" t="s">
        <v>150</v>
      </c>
      <c r="AX50" s="34">
        <f t="shared" ref="AX50:AY50" si="36">AF18</f>
        <v>0</v>
      </c>
      <c r="AY50" s="34" t="e">
        <f t="shared" si="36"/>
        <v>#N/A</v>
      </c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</row>
    <row r="51" spans="2:80" s="3" customFormat="1" ht="16.8" thickTop="1" thickBot="1" x14ac:dyDescent="0.35">
      <c r="B51" s="15"/>
      <c r="C51" s="15"/>
      <c r="D51" s="15"/>
      <c r="E51" s="15"/>
      <c r="F51" s="15"/>
      <c r="G51" s="15"/>
      <c r="H51" s="7"/>
      <c r="I51" s="7"/>
      <c r="J51" s="7"/>
      <c r="K51" s="7"/>
      <c r="L51" s="7"/>
      <c r="M51" s="7"/>
      <c r="N51" s="7"/>
      <c r="O51" s="15"/>
      <c r="P51" s="15"/>
      <c r="Q51" s="15"/>
      <c r="AL51" s="85" t="e">
        <f t="shared" si="32"/>
        <v>#N/A</v>
      </c>
      <c r="AM51" s="1">
        <v>44</v>
      </c>
      <c r="AU51" s="34">
        <v>47</v>
      </c>
      <c r="AV51" s="34">
        <v>82</v>
      </c>
      <c r="AW51" s="34" t="s">
        <v>147</v>
      </c>
      <c r="AX51" s="34">
        <f t="shared" ref="AX51:AY51" si="37">AF19</f>
        <v>0</v>
      </c>
      <c r="AY51" s="34" t="e">
        <f t="shared" si="37"/>
        <v>#N/A</v>
      </c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</row>
    <row r="52" spans="2:80" s="3" customFormat="1" ht="19.8" thickTop="1" thickBot="1" x14ac:dyDescent="0.6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AL52" s="85" t="e">
        <f t="shared" ref="AL52:AL57" si="38">IF(Z17&lt;&gt;"",Z17,"")</f>
        <v>#N/A</v>
      </c>
      <c r="AM52" s="1">
        <v>45</v>
      </c>
      <c r="AU52" s="34">
        <v>48</v>
      </c>
      <c r="AV52" s="34">
        <v>83</v>
      </c>
      <c r="AW52" s="34" t="s">
        <v>148</v>
      </c>
      <c r="AX52" s="34">
        <f t="shared" ref="AX52:AY52" si="39">AF20</f>
        <v>0</v>
      </c>
      <c r="AY52" s="34" t="e">
        <f t="shared" si="39"/>
        <v>#N/A</v>
      </c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</row>
    <row r="53" spans="2:80" s="3" customFormat="1" ht="22.2" thickTop="1" thickBot="1" x14ac:dyDescent="0.3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9"/>
      <c r="O53" s="9"/>
      <c r="P53" s="9"/>
      <c r="Q53" s="9"/>
      <c r="AL53" s="85" t="e">
        <f t="shared" si="38"/>
        <v>#N/A</v>
      </c>
      <c r="AM53" s="1">
        <v>46</v>
      </c>
      <c r="AU53" s="34">
        <v>49</v>
      </c>
      <c r="AV53" s="34">
        <v>84</v>
      </c>
      <c r="AW53" s="34" t="s">
        <v>120</v>
      </c>
      <c r="AX53" s="34">
        <f t="shared" ref="AX53:AY53" si="40">AF21</f>
        <v>0</v>
      </c>
      <c r="AY53" s="34" t="e">
        <f t="shared" si="40"/>
        <v>#N/A</v>
      </c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</row>
    <row r="54" spans="2:80" s="3" customFormat="1" ht="22.2" thickTop="1" thickBot="1" x14ac:dyDescent="0.35">
      <c r="B54" s="17"/>
      <c r="C54" s="17"/>
      <c r="D54" s="17"/>
      <c r="E54" s="16"/>
      <c r="F54" s="17"/>
      <c r="G54" s="17"/>
      <c r="H54" s="17"/>
      <c r="I54" s="17"/>
      <c r="J54" s="17"/>
      <c r="K54" s="17"/>
      <c r="L54" s="17"/>
      <c r="M54" s="17"/>
      <c r="N54" s="10"/>
      <c r="O54" s="10"/>
      <c r="P54" s="10"/>
      <c r="Q54" s="10"/>
      <c r="AL54" s="85" t="e">
        <f t="shared" si="38"/>
        <v>#N/A</v>
      </c>
      <c r="AM54" s="1">
        <v>47</v>
      </c>
      <c r="AU54" s="34">
        <v>50</v>
      </c>
      <c r="AV54" s="34">
        <f>AB22</f>
        <v>0</v>
      </c>
      <c r="AW54" s="34" t="str">
        <f>AC22</f>
        <v>اكتب اسم المادة الاختيارية</v>
      </c>
      <c r="AX54" s="34">
        <f t="shared" ref="AX54:AY54" si="41">AF22</f>
        <v>0</v>
      </c>
      <c r="AY54" s="34" t="e">
        <f t="shared" si="41"/>
        <v>#N/A</v>
      </c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</row>
    <row r="55" spans="2:80" s="3" customFormat="1" ht="22.2" thickTop="1" thickBot="1" x14ac:dyDescent="0.45">
      <c r="B55" s="18"/>
      <c r="C55" s="31"/>
      <c r="D55" s="31"/>
      <c r="E55" s="31"/>
      <c r="F55" s="31"/>
      <c r="G55" s="31"/>
      <c r="H55" s="31"/>
      <c r="I55" s="18"/>
      <c r="J55" s="18"/>
      <c r="K55" s="19"/>
      <c r="L55" s="20"/>
      <c r="M55" s="20"/>
      <c r="N55" s="21"/>
      <c r="O55" s="21"/>
      <c r="P55" s="21"/>
      <c r="Q55" s="21"/>
      <c r="AL55" s="85" t="e">
        <f t="shared" si="38"/>
        <v>#N/A</v>
      </c>
      <c r="AM55" s="1">
        <v>48</v>
      </c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</row>
    <row r="56" spans="2:80" s="3" customFormat="1" ht="22.2" thickTop="1" thickBot="1" x14ac:dyDescent="0.45">
      <c r="B56" s="19"/>
      <c r="C56" s="19"/>
      <c r="D56" s="19"/>
      <c r="E56" s="19"/>
      <c r="F56" s="19"/>
      <c r="G56" s="19"/>
      <c r="H56" s="22"/>
      <c r="I56" s="22"/>
      <c r="J56" s="22"/>
      <c r="K56" s="22"/>
      <c r="L56" s="22"/>
      <c r="M56" s="22"/>
      <c r="O56" s="23"/>
      <c r="P56" s="23"/>
      <c r="Q56" s="23"/>
      <c r="AL56" s="85" t="e">
        <f t="shared" si="38"/>
        <v>#N/A</v>
      </c>
      <c r="AM56" s="1">
        <v>49</v>
      </c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</row>
    <row r="57" spans="2:80" ht="22.2" thickTop="1" thickBot="1" x14ac:dyDescent="0.4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AL57" s="85" t="e">
        <f t="shared" si="38"/>
        <v>#N/A</v>
      </c>
      <c r="AM57" s="1">
        <v>50</v>
      </c>
    </row>
    <row r="58" spans="2:80" ht="15" thickTop="1" x14ac:dyDescent="0.3"/>
  </sheetData>
  <sheetProtection algorithmName="SHA-512" hashValue="4mbcwNGmvNC3S8ZZs+PeXH2Pkb3hiLnaKgT7wP3pz2ssflOxMp8e3ndd97SH9k8mAGC0OfBoJ2X/95KKWs77GQ==" saltValue="i+WH3syWd212pPk9+W0w2w==" spinCount="100000" sheet="1" selectLockedCells="1"/>
  <sortState xmlns:xlrd2="http://schemas.microsoft.com/office/spreadsheetml/2017/richdata2" ref="BF29:BG34">
    <sortCondition ref="BG29:BG34"/>
  </sortState>
  <mergeCells count="137">
    <mergeCell ref="C32:H32"/>
    <mergeCell ref="C27:H27"/>
    <mergeCell ref="C28:H28"/>
    <mergeCell ref="C29:H29"/>
    <mergeCell ref="C30:H30"/>
    <mergeCell ref="C31:H31"/>
    <mergeCell ref="D23:G23"/>
    <mergeCell ref="D22:G22"/>
    <mergeCell ref="M22:O22"/>
    <mergeCell ref="N27:R27"/>
    <mergeCell ref="N28:R28"/>
    <mergeCell ref="N29:R29"/>
    <mergeCell ref="L28:M28"/>
    <mergeCell ref="J31:AF32"/>
    <mergeCell ref="AC30:AE30"/>
    <mergeCell ref="T27:V27"/>
    <mergeCell ref="W27:Y27"/>
    <mergeCell ref="W29:Y29"/>
    <mergeCell ref="L29:M29"/>
    <mergeCell ref="T29:V29"/>
    <mergeCell ref="L27:M27"/>
    <mergeCell ref="P30:T30"/>
    <mergeCell ref="W30:Z30"/>
    <mergeCell ref="Z27:AC27"/>
    <mergeCell ref="D13:G13"/>
    <mergeCell ref="D14:G14"/>
    <mergeCell ref="D8:G8"/>
    <mergeCell ref="M20:O20"/>
    <mergeCell ref="B16:Q16"/>
    <mergeCell ref="M19:O19"/>
    <mergeCell ref="M11:O11"/>
    <mergeCell ref="D9:G9"/>
    <mergeCell ref="D10:G10"/>
    <mergeCell ref="D11:G11"/>
    <mergeCell ref="D12:G12"/>
    <mergeCell ref="AD27:AG27"/>
    <mergeCell ref="Z29:AC29"/>
    <mergeCell ref="AD29:AG29"/>
    <mergeCell ref="U18:W18"/>
    <mergeCell ref="U19:W19"/>
    <mergeCell ref="M13:O13"/>
    <mergeCell ref="U12:W12"/>
    <mergeCell ref="U10:W10"/>
    <mergeCell ref="U22:W22"/>
    <mergeCell ref="U21:W21"/>
    <mergeCell ref="T28:V28"/>
    <mergeCell ref="W28:X28"/>
    <mergeCell ref="M21:O21"/>
    <mergeCell ref="AC21:AE21"/>
    <mergeCell ref="AC22:AE22"/>
    <mergeCell ref="M10:O10"/>
    <mergeCell ref="M12:O12"/>
    <mergeCell ref="AC20:AE20"/>
    <mergeCell ref="U13:W13"/>
    <mergeCell ref="M18:O18"/>
    <mergeCell ref="U20:W20"/>
    <mergeCell ref="Z28:AF28"/>
    <mergeCell ref="AB5:AC5"/>
    <mergeCell ref="AB7:AF7"/>
    <mergeCell ref="B7:H7"/>
    <mergeCell ref="B3:D3"/>
    <mergeCell ref="AE3:AG3"/>
    <mergeCell ref="O1:P1"/>
    <mergeCell ref="E3:G3"/>
    <mergeCell ref="H3:J3"/>
    <mergeCell ref="L3:N3"/>
    <mergeCell ref="C2:D2"/>
    <mergeCell ref="E2:G2"/>
    <mergeCell ref="O2:P2"/>
    <mergeCell ref="O3:P3"/>
    <mergeCell ref="AB1:AC1"/>
    <mergeCell ref="U2:V2"/>
    <mergeCell ref="Q2:T2"/>
    <mergeCell ref="Q1:T1"/>
    <mergeCell ref="AB3:AC3"/>
    <mergeCell ref="C1:D1"/>
    <mergeCell ref="E1:G1"/>
    <mergeCell ref="H1:J1"/>
    <mergeCell ref="L1:N1"/>
    <mergeCell ref="U1:V1"/>
    <mergeCell ref="AE1:AG1"/>
    <mergeCell ref="AH9:AJ9"/>
    <mergeCell ref="AH10:AJ11"/>
    <mergeCell ref="U11:W11"/>
    <mergeCell ref="U17:W17"/>
    <mergeCell ref="AC13:AE13"/>
    <mergeCell ref="AC12:AE12"/>
    <mergeCell ref="AC9:AE9"/>
    <mergeCell ref="AH12:AJ19"/>
    <mergeCell ref="AC11:AE11"/>
    <mergeCell ref="T16:AG16"/>
    <mergeCell ref="AC18:AE18"/>
    <mergeCell ref="U9:W9"/>
    <mergeCell ref="AC10:AE10"/>
    <mergeCell ref="AC17:AE17"/>
    <mergeCell ref="AH1:AI1"/>
    <mergeCell ref="H2:N2"/>
    <mergeCell ref="X2:Z2"/>
    <mergeCell ref="AB2:AC2"/>
    <mergeCell ref="AH2:AI2"/>
    <mergeCell ref="X3:Z3"/>
    <mergeCell ref="AH3:AI3"/>
    <mergeCell ref="X4:Z4"/>
    <mergeCell ref="X1:Z1"/>
    <mergeCell ref="AB4:AC4"/>
    <mergeCell ref="Q3:T3"/>
    <mergeCell ref="U3:V3"/>
    <mergeCell ref="H4:J4"/>
    <mergeCell ref="L4:N4"/>
    <mergeCell ref="O4:P4"/>
    <mergeCell ref="Q4:T4"/>
    <mergeCell ref="U4:V4"/>
    <mergeCell ref="AE2:AG2"/>
    <mergeCell ref="D21:G21"/>
    <mergeCell ref="C4:D4"/>
    <mergeCell ref="AE4:AG4"/>
    <mergeCell ref="X5:Z5"/>
    <mergeCell ref="F5:N5"/>
    <mergeCell ref="O5:P5"/>
    <mergeCell ref="E4:G4"/>
    <mergeCell ref="AC19:AE19"/>
    <mergeCell ref="L7:P7"/>
    <mergeCell ref="T7:X7"/>
    <mergeCell ref="D20:G20"/>
    <mergeCell ref="D19:G19"/>
    <mergeCell ref="D17:G17"/>
    <mergeCell ref="M8:O8"/>
    <mergeCell ref="M9:O9"/>
    <mergeCell ref="U8:W8"/>
    <mergeCell ref="AC8:AE8"/>
    <mergeCell ref="D18:G18"/>
    <mergeCell ref="Q5:T5"/>
    <mergeCell ref="U5:V5"/>
    <mergeCell ref="C5:E5"/>
    <mergeCell ref="T6:AG6"/>
    <mergeCell ref="B6:Q6"/>
    <mergeCell ref="M17:O17"/>
  </mergeCells>
  <phoneticPr fontId="68" type="noConversion"/>
  <conditionalFormatting sqref="B6:Q6">
    <cfRule type="expression" dxfId="29" priority="2">
      <formula>$E$2="مستنفذ"</formula>
    </cfRule>
  </conditionalFormatting>
  <conditionalFormatting sqref="B7:Q23 T7:AG22">
    <cfRule type="expression" dxfId="28" priority="1">
      <formula>$E$2="مستنفذ"</formula>
    </cfRule>
  </conditionalFormatting>
  <dataValidations count="7">
    <dataValidation type="list" allowBlank="1" showInputMessage="1" showErrorMessage="1" sqref="N29" xr:uid="{00000000-0002-0000-0200-000000000000}">
      <formula1>$BC$4:$BC$5</formula1>
    </dataValidation>
    <dataValidation type="list" allowBlank="1" showInputMessage="1" showErrorMessage="1" sqref="M22:O22" xr:uid="{00000000-0002-0000-0200-000002000000}">
      <formula1>$BF$12:$BF$18</formula1>
    </dataValidation>
    <dataValidation type="list" allowBlank="1" showInputMessage="1" showErrorMessage="1" sqref="AC13:AE13" xr:uid="{00000000-0002-0000-0200-000003000000}">
      <formula1>$BF$19:$BF$27</formula1>
    </dataValidation>
    <dataValidation type="list" allowBlank="1" showInputMessage="1" showErrorMessage="1" sqref="AC22:AE22" xr:uid="{00000000-0002-0000-0200-000004000000}">
      <formula1>$BF$28:$BF$34</formula1>
    </dataValidation>
    <dataValidation type="list" allowBlank="1" showInputMessage="1" showErrorMessage="1" sqref="F5:N5" xr:uid="{6297AB9F-C785-4572-A948-7B1AACA34B9C}">
      <formula1>$AO$1:$AO$9</formula1>
    </dataValidation>
    <dataValidation type="list" allowBlank="1" showInputMessage="1" showErrorMessage="1" sqref="M13:O13" xr:uid="{00000000-0002-0000-0200-000001000000}">
      <formula1>$BF$5:$BF$11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H8:H14 H17:H23 P17:P22 X17:X22 AF17:AF22 AF8:AF13 X8:X13 P8:P13" xr:uid="{399FAE6A-E062-4422-858D-A38C13C2AB11}">
      <formula1>AND($AK$1=0,H8=1)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6"/>
  <dimension ref="B1:AP49"/>
  <sheetViews>
    <sheetView rightToLeft="1" workbookViewId="0">
      <selection activeCell="S19" sqref="S19"/>
    </sheetView>
  </sheetViews>
  <sheetFormatPr defaultColWidth="9" defaultRowHeight="15.6" x14ac:dyDescent="0.3"/>
  <cols>
    <col min="1" max="1" width="2.5546875" style="140" customWidth="1"/>
    <col min="2" max="2" width="3.33203125" style="140" bestFit="1" customWidth="1"/>
    <col min="3" max="3" width="5.109375" style="140" customWidth="1"/>
    <col min="4" max="4" width="4.109375" style="140" customWidth="1"/>
    <col min="5" max="5" width="8" style="131" customWidth="1"/>
    <col min="6" max="6" width="7.109375" style="131" customWidth="1"/>
    <col min="7" max="7" width="4.77734375" style="131" customWidth="1"/>
    <col min="8" max="8" width="5.44140625" style="131" customWidth="1"/>
    <col min="9" max="9" width="5.21875" style="140" customWidth="1"/>
    <col min="10" max="10" width="8.88671875" style="140" customWidth="1"/>
    <col min="11" max="11" width="5.88671875" style="140" customWidth="1"/>
    <col min="12" max="12" width="3.44140625" style="140" customWidth="1"/>
    <col min="13" max="13" width="7.109375" style="131" customWidth="1"/>
    <col min="14" max="14" width="8.33203125" style="131" customWidth="1"/>
    <col min="15" max="15" width="7.109375" style="131" customWidth="1"/>
    <col min="16" max="16" width="4.21875" style="140" customWidth="1"/>
    <col min="17" max="17" width="4.77734375" style="140" customWidth="1"/>
    <col min="18" max="18" width="3.6640625" style="140" customWidth="1"/>
    <col min="19" max="19" width="9" style="140" customWidth="1"/>
    <col min="20" max="20" width="5.77734375" style="140" hidden="1" customWidth="1"/>
    <col min="21" max="21" width="9" style="140" hidden="1" customWidth="1"/>
    <col min="22" max="22" width="2.88671875" style="140" hidden="1" customWidth="1"/>
    <col min="23" max="23" width="9" style="140" hidden="1" customWidth="1"/>
    <col min="24" max="25" width="3" style="1" hidden="1" customWidth="1"/>
    <col min="26" max="26" width="12.44140625" style="1" hidden="1" customWidth="1"/>
    <col min="27" max="27" width="3" style="1" hidden="1" customWidth="1"/>
    <col min="28" max="28" width="9" style="1" hidden="1" customWidth="1"/>
    <col min="29" max="29" width="9" style="1"/>
    <col min="30" max="34" width="18" style="1" customWidth="1"/>
    <col min="35" max="35" width="9" style="1" bestFit="1"/>
    <col min="36" max="36" width="3" style="1" bestFit="1" customWidth="1"/>
    <col min="37" max="47" width="0" style="140" hidden="1" customWidth="1"/>
    <col min="48" max="16384" width="9" style="140"/>
  </cols>
  <sheetData>
    <row r="1" spans="2:42" ht="16.8" thickTop="1" thickBot="1" x14ac:dyDescent="0.35">
      <c r="B1" s="514">
        <f ca="1">NOW()</f>
        <v>44605.663472800923</v>
      </c>
      <c r="C1" s="514"/>
      <c r="D1" s="514"/>
      <c r="E1" s="514"/>
      <c r="F1" s="527" t="s">
        <v>314</v>
      </c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T1" s="104" t="b">
        <f>IF(OR(H12=1,H12=2,H12=3),IF(OR($E$22=$AP$7,$AP$9=BL13),0,IF($E$22=$AP$2,IF(H12=1,4000,IF(H12=2,5200,IF(H12=3,6000,""))),IF(OR($E$22=$AP$3,$E$22=$AP$6),IF(H12=1,2500,IF(H12=2,3250,IF(H12=3,3750,""))),IF($E$22=$AP$4,500,IF(OR($E$22=$AP$1,$E$22=$AP$5,$E$22=$AP$8),IF(H12=1,4000,IF(H12=2,5500,IF(H12=3,6500,""))),IF(H12=1,5000,IF(H12=2,6500,IF(H12=3,7500,"")))))))))</f>
        <v>0</v>
      </c>
      <c r="AC1" s="206"/>
      <c r="AD1" s="498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499"/>
      <c r="AF1" s="499"/>
      <c r="AG1" s="499"/>
      <c r="AH1" s="500"/>
      <c r="AI1" s="206"/>
      <c r="AJ1" s="207">
        <f>COUNT(AA3:AA21)</f>
        <v>17</v>
      </c>
      <c r="AP1" s="85" t="s">
        <v>68</v>
      </c>
    </row>
    <row r="2" spans="2:42" ht="17.25" customHeight="1" thickTop="1" thickBot="1" x14ac:dyDescent="0.35">
      <c r="B2" s="515" t="s">
        <v>265</v>
      </c>
      <c r="C2" s="516"/>
      <c r="D2" s="517">
        <f>'اختيار المقررات'!E1</f>
        <v>0</v>
      </c>
      <c r="E2" s="517"/>
      <c r="F2" s="518" t="s">
        <v>3</v>
      </c>
      <c r="G2" s="518"/>
      <c r="H2" s="519" t="str">
        <f>'اختيار المقررات'!L1</f>
        <v/>
      </c>
      <c r="I2" s="519"/>
      <c r="J2" s="519"/>
      <c r="K2" s="518" t="s">
        <v>4</v>
      </c>
      <c r="L2" s="518"/>
      <c r="M2" s="520" t="str">
        <f>'اختيار المقررات'!Q1</f>
        <v/>
      </c>
      <c r="N2" s="520"/>
      <c r="O2" s="200" t="s">
        <v>5</v>
      </c>
      <c r="P2" s="520" t="str">
        <f>'اختيار المقررات'!W1</f>
        <v/>
      </c>
      <c r="Q2" s="520"/>
      <c r="R2" s="521"/>
      <c r="T2" s="104" t="b">
        <f>IF(OR(H13=1,H13=2,H13=3),IF(OR($E$22=$AP$7,$AP$9=BL14),0,IF($E$22=$AP$2,IF(H13=1,4000,IF(H13=2,5200,IF(H13=3,6000,""))),IF(OR($E$22=$AP$3,$E$22=$AP$6),IF(H13=1,2500,IF(H13=2,3250,IF(H13=3,3750,""))),IF($E$22=$AP$4,500,IF(OR($E$22=$AP$1,$E$22=$AP$5,$E$22=$AP$8),IF(H13=1,4000,IF(H13=2,5500,IF(H13=3,6500,""))),IF(H13=1,5000,IF(H13=2,6500,IF(H13=3,7500,"")))))))))</f>
        <v>0</v>
      </c>
      <c r="AC2" s="206"/>
      <c r="AD2" s="501"/>
      <c r="AE2" s="502"/>
      <c r="AF2" s="502"/>
      <c r="AG2" s="502"/>
      <c r="AH2" s="503"/>
      <c r="AI2" s="208" t="s">
        <v>280</v>
      </c>
      <c r="AP2" s="70" t="s">
        <v>69</v>
      </c>
    </row>
    <row r="3" spans="2:42" ht="18.75" customHeight="1" thickTop="1" thickBot="1" x14ac:dyDescent="0.35">
      <c r="B3" s="523" t="s">
        <v>266</v>
      </c>
      <c r="C3" s="513"/>
      <c r="D3" s="524" t="e">
        <f>'اختيار المقررات'!E2</f>
        <v>#N/A</v>
      </c>
      <c r="E3" s="524"/>
      <c r="F3" s="496">
        <f>'اختيار المقررات'!Q2</f>
        <v>0</v>
      </c>
      <c r="G3" s="496"/>
      <c r="H3" s="522" t="s">
        <v>78</v>
      </c>
      <c r="I3" s="522"/>
      <c r="J3" s="528">
        <f>'اختيار المقررات'!W2</f>
        <v>0</v>
      </c>
      <c r="K3" s="528"/>
      <c r="L3" s="528"/>
      <c r="M3" s="201" t="s">
        <v>79</v>
      </c>
      <c r="N3" s="524" t="str">
        <f>'اختيار المقررات'!AB2</f>
        <v xml:space="preserve"> </v>
      </c>
      <c r="O3" s="524"/>
      <c r="P3" s="524"/>
      <c r="Q3" s="525" t="s">
        <v>80</v>
      </c>
      <c r="R3" s="526"/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207"/>
      <c r="AD3" s="207"/>
      <c r="AE3" s="474" t="str">
        <f>IFERROR(VLOOKUP(AA3,$X$3:$Z$22,3,0),"")</f>
        <v>اسم الاب:</v>
      </c>
      <c r="AF3" s="474"/>
      <c r="AG3" s="474"/>
      <c r="AH3" s="207"/>
      <c r="AI3" s="207"/>
      <c r="AP3" s="70" t="s">
        <v>45</v>
      </c>
    </row>
    <row r="4" spans="2:42" ht="16.8" thickTop="1" thickBot="1" x14ac:dyDescent="0.35">
      <c r="B4" s="523" t="s">
        <v>267</v>
      </c>
      <c r="C4" s="513"/>
      <c r="D4" s="496" t="str">
        <f>'اختيار المقررات'!E3</f>
        <v/>
      </c>
      <c r="E4" s="496"/>
      <c r="F4" s="510" t="s">
        <v>268</v>
      </c>
      <c r="G4" s="510"/>
      <c r="H4" s="494" t="str">
        <f>'اختيار المقررات'!AB1</f>
        <v/>
      </c>
      <c r="I4" s="494"/>
      <c r="J4" s="202" t="s">
        <v>269</v>
      </c>
      <c r="K4" s="496" t="str">
        <f>'اختيار المقررات'!AE1</f>
        <v/>
      </c>
      <c r="L4" s="496"/>
      <c r="M4" s="496"/>
      <c r="N4" s="524">
        <f>'اختيار المقررات'!H2</f>
        <v>0</v>
      </c>
      <c r="O4" s="524"/>
      <c r="P4" s="524"/>
      <c r="Q4" s="522" t="s">
        <v>77</v>
      </c>
      <c r="R4" s="530"/>
      <c r="X4" s="1">
        <v>2</v>
      </c>
      <c r="Y4" s="1">
        <f t="shared" ref="Y4:Y22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207"/>
      <c r="AD4" s="207"/>
      <c r="AE4" s="474" t="str">
        <f t="shared" ref="AE4:AE22" si="2">IFERROR(VLOOKUP(AA4,$X$3:$Z$22,3,0),"")</f>
        <v>اسم الام:</v>
      </c>
      <c r="AF4" s="474"/>
      <c r="AG4" s="474"/>
      <c r="AH4" s="207"/>
      <c r="AI4" s="207"/>
      <c r="AP4" s="54" t="s">
        <v>56</v>
      </c>
    </row>
    <row r="5" spans="2:42" ht="16.8" thickTop="1" thickBot="1" x14ac:dyDescent="0.35">
      <c r="B5" s="523" t="s">
        <v>270</v>
      </c>
      <c r="C5" s="513"/>
      <c r="D5" s="496" t="str">
        <f>'اختيار المقررات'!L3</f>
        <v/>
      </c>
      <c r="E5" s="496"/>
      <c r="F5" s="513" t="s">
        <v>271</v>
      </c>
      <c r="G5" s="513"/>
      <c r="H5" s="466">
        <f>'اختيار المقررات'!Q3</f>
        <v>0</v>
      </c>
      <c r="I5" s="466"/>
      <c r="J5" s="202" t="s">
        <v>272</v>
      </c>
      <c r="K5" s="466" t="str">
        <f>'اختيار المقررات'!AB3</f>
        <v>غير سوري</v>
      </c>
      <c r="L5" s="466"/>
      <c r="M5" s="466"/>
      <c r="N5" s="513" t="s">
        <v>273</v>
      </c>
      <c r="O5" s="513"/>
      <c r="P5" s="496" t="str">
        <f>'اختيار المقررات'!W3</f>
        <v>غير سوري</v>
      </c>
      <c r="Q5" s="496"/>
      <c r="R5" s="511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207"/>
      <c r="AD5" s="207"/>
      <c r="AE5" s="474" t="str">
        <f t="shared" si="2"/>
        <v>Full Name</v>
      </c>
      <c r="AF5" s="474"/>
      <c r="AG5" s="474"/>
      <c r="AH5" s="207"/>
      <c r="AI5" s="207"/>
      <c r="AP5" s="70" t="s">
        <v>204</v>
      </c>
    </row>
    <row r="6" spans="2:42" ht="15.75" customHeight="1" thickTop="1" thickBot="1" x14ac:dyDescent="0.35">
      <c r="B6" s="509" t="s">
        <v>274</v>
      </c>
      <c r="C6" s="510"/>
      <c r="D6" s="496" t="str">
        <f>'اختيار المقررات'!AE3</f>
        <v>لايوجد</v>
      </c>
      <c r="E6" s="496"/>
      <c r="F6" s="510" t="s">
        <v>275</v>
      </c>
      <c r="G6" s="510"/>
      <c r="H6" s="496" t="str">
        <f>'اختيار المقررات'!E4</f>
        <v/>
      </c>
      <c r="I6" s="496"/>
      <c r="J6" s="203" t="s">
        <v>276</v>
      </c>
      <c r="K6" s="466" t="str">
        <f>'اختيار المقررات'!Q4</f>
        <v/>
      </c>
      <c r="L6" s="466"/>
      <c r="M6" s="466"/>
      <c r="N6" s="510" t="s">
        <v>277</v>
      </c>
      <c r="O6" s="510"/>
      <c r="P6" s="496" t="str">
        <f>'اختيار المقررات'!L4</f>
        <v/>
      </c>
      <c r="Q6" s="496"/>
      <c r="R6" s="511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207"/>
      <c r="AD6" s="207"/>
      <c r="AE6" s="474" t="str">
        <f t="shared" si="2"/>
        <v>Father Name</v>
      </c>
      <c r="AF6" s="474"/>
      <c r="AG6" s="474"/>
      <c r="AH6" s="207"/>
      <c r="AI6" s="207"/>
      <c r="AP6" s="70" t="s">
        <v>70</v>
      </c>
    </row>
    <row r="7" spans="2:42" ht="15" customHeight="1" thickTop="1" thickBot="1" x14ac:dyDescent="0.35">
      <c r="B7" s="531" t="s">
        <v>278</v>
      </c>
      <c r="C7" s="504"/>
      <c r="D7" s="512">
        <f>'اختيار المقررات'!W4</f>
        <v>0</v>
      </c>
      <c r="E7" s="507"/>
      <c r="F7" s="504" t="s">
        <v>279</v>
      </c>
      <c r="G7" s="504"/>
      <c r="H7" s="505">
        <f>'اختيار المقررات'!AB4</f>
        <v>0</v>
      </c>
      <c r="I7" s="506"/>
      <c r="J7" s="204" t="s">
        <v>66</v>
      </c>
      <c r="K7" s="507">
        <f>'اختيار المقررات'!AE4</f>
        <v>0</v>
      </c>
      <c r="L7" s="507"/>
      <c r="M7" s="507"/>
      <c r="N7" s="507"/>
      <c r="O7" s="507"/>
      <c r="P7" s="507"/>
      <c r="Q7" s="507"/>
      <c r="R7" s="508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207"/>
      <c r="AD7" s="207"/>
      <c r="AE7" s="474" t="str">
        <f t="shared" si="2"/>
        <v>Mother Name</v>
      </c>
      <c r="AF7" s="474"/>
      <c r="AG7" s="474"/>
      <c r="AH7" s="207"/>
      <c r="AI7" s="207"/>
      <c r="AP7" s="70" t="s">
        <v>8</v>
      </c>
    </row>
    <row r="8" spans="2:42" ht="26.25" customHeight="1" thickTop="1" thickBot="1" x14ac:dyDescent="0.35">
      <c r="B8" s="532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533"/>
      <c r="D8" s="533"/>
      <c r="E8" s="533"/>
      <c r="F8" s="533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207"/>
      <c r="AD8" s="207"/>
      <c r="AE8" s="474" t="str">
        <f t="shared" si="2"/>
        <v>الجنس:</v>
      </c>
      <c r="AF8" s="474"/>
      <c r="AG8" s="474"/>
      <c r="AH8" s="207"/>
      <c r="AI8" s="207"/>
      <c r="AP8" s="1" t="s">
        <v>109</v>
      </c>
    </row>
    <row r="9" spans="2:42" ht="26.25" customHeight="1" thickTop="1" thickBot="1" x14ac:dyDescent="0.35">
      <c r="B9" s="534"/>
      <c r="C9" s="534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4"/>
      <c r="O9" s="534"/>
      <c r="P9" s="534"/>
      <c r="Q9" s="534"/>
      <c r="R9" s="534"/>
      <c r="S9" s="58"/>
      <c r="T9" s="58"/>
      <c r="U9" s="58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207"/>
      <c r="AD9" s="207"/>
      <c r="AE9" s="474" t="str">
        <f t="shared" si="2"/>
        <v>تاريخ الميلاد:</v>
      </c>
      <c r="AF9" s="474"/>
      <c r="AG9" s="474"/>
      <c r="AH9" s="207"/>
      <c r="AI9" s="207"/>
      <c r="AP9" s="1" t="s">
        <v>15</v>
      </c>
    </row>
    <row r="10" spans="2:42" ht="16.5" customHeight="1" thickTop="1" thickBot="1" x14ac:dyDescent="0.35"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58"/>
      <c r="T10" s="58"/>
      <c r="U10" s="58"/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207"/>
      <c r="AD10" s="207"/>
      <c r="AE10" s="474" t="str">
        <f t="shared" si="2"/>
        <v>مكان الميلاد:</v>
      </c>
      <c r="AF10" s="474"/>
      <c r="AG10" s="474"/>
      <c r="AH10" s="207"/>
      <c r="AI10" s="207"/>
    </row>
    <row r="11" spans="2:42" ht="21" customHeight="1" thickTop="1" thickBot="1" x14ac:dyDescent="0.35">
      <c r="B11" s="117"/>
      <c r="C11" s="118" t="s">
        <v>28</v>
      </c>
      <c r="D11" s="451" t="s">
        <v>29</v>
      </c>
      <c r="E11" s="452"/>
      <c r="F11" s="452"/>
      <c r="G11" s="452"/>
      <c r="H11" s="452"/>
      <c r="I11" s="453"/>
      <c r="J11" s="117"/>
      <c r="K11" s="118" t="s">
        <v>28</v>
      </c>
      <c r="L11" s="451" t="s">
        <v>29</v>
      </c>
      <c r="M11" s="452"/>
      <c r="N11" s="452"/>
      <c r="O11" s="452"/>
      <c r="P11" s="452"/>
      <c r="Q11" s="453"/>
      <c r="R11" s="119"/>
      <c r="S11" s="58"/>
      <c r="T11" s="58"/>
      <c r="U11" s="59"/>
      <c r="V11" s="140" t="str">
        <f>IFERROR(SMALL('اختيار المقررات'!$AL$8:$AL$57,'اختيار المقررات'!AM8),"")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207"/>
      <c r="AD11" s="207"/>
      <c r="AE11" s="474" t="str">
        <f t="shared" si="2"/>
        <v>place of birth</v>
      </c>
      <c r="AF11" s="474"/>
      <c r="AG11" s="474"/>
      <c r="AH11" s="207"/>
      <c r="AI11" s="207"/>
    </row>
    <row r="12" spans="2:42" ht="19.2" customHeight="1" thickTop="1" thickBot="1" x14ac:dyDescent="0.35">
      <c r="B12" s="120" t="str">
        <f>V11</f>
        <v/>
      </c>
      <c r="C12" s="121" t="str">
        <f>IFERROR(VLOOKUP(B12,'اختيار المقررات'!AU5:AY54,2,0),"")</f>
        <v/>
      </c>
      <c r="D12" s="473" t="str">
        <f>IFERROR(VLOOKUP(B12,'اختيار المقررات'!AU5:AY54,3,0),"")</f>
        <v/>
      </c>
      <c r="E12" s="473"/>
      <c r="F12" s="473"/>
      <c r="G12" s="473"/>
      <c r="H12" s="122" t="str">
        <f>IFERROR(VLOOKUP(B12,'اختيار المقررات'!AU5:AY54,4,0),"")</f>
        <v/>
      </c>
      <c r="I12" s="123" t="str">
        <f>IFERROR(VLOOKUP(B12,'اختيار المقررات'!AU5:AY54,5,0),"")</f>
        <v/>
      </c>
      <c r="J12" s="124" t="str">
        <f>V19</f>
        <v/>
      </c>
      <c r="K12" s="121" t="str">
        <f>IFERROR(VLOOKUP(J12,'اختيار المقررات'!AU5:AY54,2,0),"")</f>
        <v/>
      </c>
      <c r="L12" s="473" t="str">
        <f>IFERROR(VLOOKUP(J12,'اختيار المقررات'!AU5:AY54,3,0),"")</f>
        <v/>
      </c>
      <c r="M12" s="473"/>
      <c r="N12" s="473"/>
      <c r="O12" s="473"/>
      <c r="P12" s="122" t="str">
        <f>IFERROR(VLOOKUP(J12,'اختيار المقررات'!AU5:AY54,4,0),"")</f>
        <v/>
      </c>
      <c r="Q12" s="123" t="str">
        <f>IFERROR(VLOOKUP(J12,'اختيار المقررات'!AU5:AY54,5,0),"")</f>
        <v/>
      </c>
      <c r="R12" s="125"/>
      <c r="S12" s="141"/>
      <c r="T12" s="126"/>
      <c r="U12" s="141"/>
      <c r="V12" s="140" t="str">
        <f>IFERROR(SMALL('اختيار المقررات'!$AL$8:$AL$57,'اختيار المقررات'!AM9),"")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207"/>
      <c r="AD12" s="207"/>
      <c r="AE12" s="474" t="str">
        <f t="shared" si="2"/>
        <v>الجنسية:</v>
      </c>
      <c r="AF12" s="474"/>
      <c r="AG12" s="474"/>
      <c r="AH12" s="207"/>
      <c r="AI12" s="207"/>
    </row>
    <row r="13" spans="2:42" ht="19.2" customHeight="1" thickTop="1" thickBot="1" x14ac:dyDescent="0.35">
      <c r="B13" s="120" t="str">
        <f t="shared" ref="B13:B19" si="3">V12</f>
        <v/>
      </c>
      <c r="C13" s="121" t="str">
        <f>IFERROR(VLOOKUP(B13,'اختيار المقررات'!AU6:AY55,2,0),"")</f>
        <v/>
      </c>
      <c r="D13" s="473" t="str">
        <f>IFERROR(VLOOKUP(B13,'اختيار المقررات'!AU6:AY55,3,0),"")</f>
        <v/>
      </c>
      <c r="E13" s="473"/>
      <c r="F13" s="473"/>
      <c r="G13" s="473"/>
      <c r="H13" s="122" t="str">
        <f>IFERROR(VLOOKUP(B13,'اختيار المقررات'!AU6:AY55,4,0),"")</f>
        <v/>
      </c>
      <c r="I13" s="123" t="str">
        <f>IFERROR(VLOOKUP(B13,'اختيار المقررات'!AU6:AY55,5,0),"")</f>
        <v/>
      </c>
      <c r="J13" s="124" t="str">
        <f t="shared" ref="J13:J17" si="4">V20</f>
        <v/>
      </c>
      <c r="K13" s="121" t="str">
        <f>IFERROR(VLOOKUP(J13,'اختيار المقررات'!AU6:AY55,2,0),"")</f>
        <v/>
      </c>
      <c r="L13" s="473" t="str">
        <f>IFERROR(VLOOKUP(J13,'اختيار المقررات'!AU6:AY55,3,0),"")</f>
        <v/>
      </c>
      <c r="M13" s="473"/>
      <c r="N13" s="473"/>
      <c r="O13" s="473"/>
      <c r="P13" s="122" t="str">
        <f>IFERROR(VLOOKUP(J13,'اختيار المقررات'!AU6:AY55,4,0),"")</f>
        <v/>
      </c>
      <c r="Q13" s="123" t="str">
        <f>IFERROR(VLOOKUP(J13,'اختيار المقررات'!AU6:AY55,5,0),"")</f>
        <v/>
      </c>
      <c r="R13" s="125"/>
      <c r="S13" s="126"/>
      <c r="T13" s="126"/>
      <c r="U13" s="127"/>
      <c r="V13" s="140" t="str">
        <f>IFERROR(SMALL('اختيار المقررات'!$AL$8:$AL$57,'اختيار المقررات'!AM10),"")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207"/>
      <c r="AD13" s="207"/>
      <c r="AE13" s="474" t="str">
        <f t="shared" si="2"/>
        <v>الرقم الوطني:</v>
      </c>
      <c r="AF13" s="474"/>
      <c r="AG13" s="474"/>
      <c r="AH13" s="207"/>
      <c r="AI13" s="207"/>
    </row>
    <row r="14" spans="2:42" ht="19.2" customHeight="1" thickTop="1" thickBot="1" x14ac:dyDescent="0.35">
      <c r="B14" s="120" t="str">
        <f t="shared" si="3"/>
        <v/>
      </c>
      <c r="C14" s="121" t="str">
        <f>IFERROR(VLOOKUP(B14,'اختيار المقررات'!AU7:AY56,2,0),"")</f>
        <v/>
      </c>
      <c r="D14" s="473" t="str">
        <f>IFERROR(VLOOKUP(B14,'اختيار المقررات'!AU7:AY56,3,0),"")</f>
        <v/>
      </c>
      <c r="E14" s="473"/>
      <c r="F14" s="473"/>
      <c r="G14" s="473"/>
      <c r="H14" s="122" t="str">
        <f>IFERROR(VLOOKUP(B14,'اختيار المقررات'!AU7:AY56,4,0),"")</f>
        <v/>
      </c>
      <c r="I14" s="123" t="str">
        <f>IFERROR(VLOOKUP(B14,'اختيار المقررات'!AU7:AY56,5,0),"")</f>
        <v/>
      </c>
      <c r="J14" s="124" t="str">
        <f t="shared" si="4"/>
        <v/>
      </c>
      <c r="K14" s="121" t="str">
        <f>IFERROR(VLOOKUP(J14,'اختيار المقررات'!AU7:AY56,2,0),"")</f>
        <v/>
      </c>
      <c r="L14" s="473" t="str">
        <f>IFERROR(VLOOKUP(J14,'اختيار المقررات'!AU7:AY56,3,0),"")</f>
        <v/>
      </c>
      <c r="M14" s="473"/>
      <c r="N14" s="473"/>
      <c r="O14" s="473"/>
      <c r="P14" s="122" t="str">
        <f>IFERROR(VLOOKUP(J14,'اختيار المقررات'!AU7:AY56,4,0),"")</f>
        <v/>
      </c>
      <c r="Q14" s="123" t="str">
        <f>IFERROR(VLOOKUP(J14,'اختيار المقررات'!AU7:AY56,5,0),"")</f>
        <v/>
      </c>
      <c r="R14" s="125"/>
      <c r="S14" s="126"/>
      <c r="T14" s="126"/>
      <c r="U14" s="127"/>
      <c r="V14" s="140" t="str">
        <f>IFERROR(SMALL('اختيار المقررات'!$AL$8:$AL$57,'اختيار المقررات'!AM11),"")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207"/>
      <c r="AD14" s="207"/>
      <c r="AE14" s="474" t="str">
        <f t="shared" si="2"/>
        <v>نوع الثانوية:</v>
      </c>
      <c r="AF14" s="474"/>
      <c r="AG14" s="474"/>
      <c r="AH14" s="207"/>
      <c r="AI14" s="207"/>
    </row>
    <row r="15" spans="2:42" ht="19.2" customHeight="1" thickTop="1" thickBot="1" x14ac:dyDescent="0.35">
      <c r="B15" s="120" t="str">
        <f t="shared" si="3"/>
        <v/>
      </c>
      <c r="C15" s="121" t="str">
        <f>IFERROR(VLOOKUP(B15,'اختيار المقررات'!AU8:AY57,2,0),"")</f>
        <v/>
      </c>
      <c r="D15" s="473" t="str">
        <f>IFERROR(VLOOKUP(B15,'اختيار المقررات'!AU8:AY57,3,0),"")</f>
        <v/>
      </c>
      <c r="E15" s="473"/>
      <c r="F15" s="473"/>
      <c r="G15" s="473"/>
      <c r="H15" s="122" t="str">
        <f>IFERROR(VLOOKUP(B15,'اختيار المقررات'!AU8:AY57,4,0),"")</f>
        <v/>
      </c>
      <c r="I15" s="123" t="str">
        <f>IFERROR(VLOOKUP(B15,'اختيار المقررات'!AU8:AY57,5,0),"")</f>
        <v/>
      </c>
      <c r="J15" s="124" t="str">
        <f t="shared" si="4"/>
        <v/>
      </c>
      <c r="K15" s="121" t="str">
        <f>IFERROR(VLOOKUP(J15,'اختيار المقررات'!AU8:AY57,2,0),"")</f>
        <v/>
      </c>
      <c r="L15" s="473" t="str">
        <f>IFERROR(VLOOKUP(J15,'اختيار المقررات'!AU8:AY57,3,0),"")</f>
        <v/>
      </c>
      <c r="M15" s="473"/>
      <c r="N15" s="473"/>
      <c r="O15" s="473"/>
      <c r="P15" s="122" t="str">
        <f>IFERROR(VLOOKUP(J15,'اختيار المقررات'!AU8:AY57,4,0),"")</f>
        <v/>
      </c>
      <c r="Q15" s="123" t="str">
        <f>IFERROR(VLOOKUP(J15,'اختيار المقررات'!AU8:AY57,5,0),"")</f>
        <v/>
      </c>
      <c r="R15" s="125"/>
      <c r="S15" s="126"/>
      <c r="T15" s="126"/>
      <c r="U15" s="127"/>
      <c r="V15" s="140" t="str">
        <f>IFERROR(SMALL('اختيار المقررات'!$AL$8:$AL$57,'اختيار المقررات'!AM12),"")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207"/>
      <c r="AD15" s="207"/>
      <c r="AE15" s="474" t="str">
        <f t="shared" si="2"/>
        <v>محافظتها:</v>
      </c>
      <c r="AF15" s="474"/>
      <c r="AG15" s="474"/>
      <c r="AH15" s="207"/>
      <c r="AI15" s="207"/>
    </row>
    <row r="16" spans="2:42" ht="19.2" customHeight="1" thickTop="1" thickBot="1" x14ac:dyDescent="0.35">
      <c r="B16" s="120" t="str">
        <f t="shared" si="3"/>
        <v/>
      </c>
      <c r="C16" s="121" t="str">
        <f>IFERROR(VLOOKUP(B16,'اختيار المقررات'!AU9:AY58,2,0),"")</f>
        <v/>
      </c>
      <c r="D16" s="473" t="str">
        <f>IFERROR(VLOOKUP(B16,'اختيار المقررات'!AU9:AY58,3,0),"")</f>
        <v/>
      </c>
      <c r="E16" s="473"/>
      <c r="F16" s="473"/>
      <c r="G16" s="473"/>
      <c r="H16" s="122" t="str">
        <f>IFERROR(VLOOKUP(B16,'اختيار المقررات'!AU9:AY58,4,0),"")</f>
        <v/>
      </c>
      <c r="I16" s="123" t="str">
        <f>IFERROR(VLOOKUP(B16,'اختيار المقررات'!AU9:AY58,5,0),"")</f>
        <v/>
      </c>
      <c r="J16" s="124" t="str">
        <f t="shared" si="4"/>
        <v/>
      </c>
      <c r="K16" s="121" t="str">
        <f>IFERROR(VLOOKUP(J16,'اختيار المقررات'!AU9:AY58,2,0),"")</f>
        <v/>
      </c>
      <c r="L16" s="473" t="str">
        <f>IFERROR(VLOOKUP(J16,'اختيار المقررات'!AU9:AY58,3,0),"")</f>
        <v/>
      </c>
      <c r="M16" s="473"/>
      <c r="N16" s="473"/>
      <c r="O16" s="473"/>
      <c r="P16" s="122" t="str">
        <f>IFERROR(VLOOKUP(J16,'اختيار المقررات'!AU9:AY58,4,0),"")</f>
        <v/>
      </c>
      <c r="Q16" s="123" t="str">
        <f>IFERROR(VLOOKUP(J16,'اختيار المقررات'!AU9:AY58,5,0),"")</f>
        <v/>
      </c>
      <c r="R16" s="125"/>
      <c r="S16" s="126"/>
      <c r="T16" s="126"/>
      <c r="U16" s="127"/>
      <c r="V16" s="140" t="str">
        <f>IFERROR(SMALL('اختيار المقررات'!$AL$8:$AL$57,'اختيار المقررات'!AM13),"")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207"/>
      <c r="AD16" s="207"/>
      <c r="AE16" s="474" t="str">
        <f t="shared" si="2"/>
        <v>عامها:</v>
      </c>
      <c r="AF16" s="474"/>
      <c r="AG16" s="474"/>
      <c r="AH16" s="207"/>
      <c r="AI16" s="207"/>
    </row>
    <row r="17" spans="2:36" ht="19.2" customHeight="1" thickTop="1" thickBot="1" x14ac:dyDescent="0.35">
      <c r="B17" s="120" t="str">
        <f t="shared" si="3"/>
        <v/>
      </c>
      <c r="C17" s="121" t="str">
        <f>IFERROR(VLOOKUP(B17,'اختيار المقررات'!AU10:AY59,2,0),"")</f>
        <v/>
      </c>
      <c r="D17" s="473" t="str">
        <f>IFERROR(VLOOKUP(B17,'اختيار المقررات'!AU10:AY59,3,0),"")</f>
        <v/>
      </c>
      <c r="E17" s="473"/>
      <c r="F17" s="473"/>
      <c r="G17" s="473"/>
      <c r="H17" s="122" t="str">
        <f>IFERROR(VLOOKUP(B17,'اختيار المقررات'!AU10:AY59,4,0),"")</f>
        <v/>
      </c>
      <c r="I17" s="123" t="str">
        <f>IFERROR(VLOOKUP(B17,'اختيار المقررات'!AU10:AY59,5,0),"")</f>
        <v/>
      </c>
      <c r="J17" s="124" t="str">
        <f t="shared" si="4"/>
        <v/>
      </c>
      <c r="K17" s="121" t="str">
        <f>IFERROR(VLOOKUP(J17,'اختيار المقررات'!AU10:AY59,2,0),"")</f>
        <v/>
      </c>
      <c r="L17" s="473" t="str">
        <f>IFERROR(VLOOKUP(J17,'اختيار المقررات'!AU10:AY59,3,0),"")</f>
        <v/>
      </c>
      <c r="M17" s="473"/>
      <c r="N17" s="473"/>
      <c r="O17" s="473"/>
      <c r="P17" s="122" t="str">
        <f>IFERROR(VLOOKUP(J17,'اختيار المقررات'!AU10:AY59,4,0),"")</f>
        <v/>
      </c>
      <c r="Q17" s="123" t="str">
        <f>IFERROR(VLOOKUP(J17,'اختيار المقررات'!AU10:AY59,5,0),"")</f>
        <v/>
      </c>
      <c r="R17" s="125"/>
      <c r="S17" s="126"/>
      <c r="T17" s="126"/>
      <c r="U17" s="127"/>
      <c r="V17" s="140" t="str">
        <f>IFERROR(SMALL('اختيار المقررات'!$AL$8:$AL$57,'اختيار المقررات'!AM14),"")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207"/>
      <c r="AD17" s="207"/>
      <c r="AE17" s="474" t="str">
        <f t="shared" si="2"/>
        <v>الموبايل:</v>
      </c>
      <c r="AF17" s="474"/>
      <c r="AG17" s="474"/>
      <c r="AH17" s="207"/>
      <c r="AI17" s="207"/>
    </row>
    <row r="18" spans="2:36" s="142" customFormat="1" ht="19.2" customHeight="1" thickTop="1" thickBot="1" x14ac:dyDescent="0.35">
      <c r="B18" s="120" t="str">
        <f t="shared" si="3"/>
        <v/>
      </c>
      <c r="C18" s="121" t="str">
        <f>IFERROR(VLOOKUP(B18,'اختيار المقررات'!AU11:AY60,2,0),"")</f>
        <v/>
      </c>
      <c r="D18" s="473" t="str">
        <f>IFERROR(VLOOKUP(B18,'اختيار المقررات'!AU11:AY60,3,0),"")</f>
        <v/>
      </c>
      <c r="E18" s="473"/>
      <c r="F18" s="473"/>
      <c r="G18" s="473"/>
      <c r="H18" s="122" t="str">
        <f>IFERROR(VLOOKUP(B18,'اختيار المقررات'!AU11:AY60,4,0),"")</f>
        <v/>
      </c>
      <c r="I18" s="123" t="str">
        <f>IFERROR(VLOOKUP(B18,'اختيار المقررات'!AU11:AY60,5,0),"")</f>
        <v/>
      </c>
      <c r="J18" s="124" t="str">
        <f>V26</f>
        <v/>
      </c>
      <c r="K18" s="121" t="str">
        <f>IFERROR(VLOOKUP(J18,'اختيار المقررات'!AU11:AY60,2,0),"")</f>
        <v/>
      </c>
      <c r="L18" s="473" t="str">
        <f>IFERROR(VLOOKUP(J18,'اختيار المقررات'!AU11:AY60,3,0),"")</f>
        <v/>
      </c>
      <c r="M18" s="473"/>
      <c r="N18" s="473"/>
      <c r="O18" s="473"/>
      <c r="P18" s="122" t="str">
        <f>IFERROR(VLOOKUP(J18,'اختيار المقررات'!AU11:AY60,4,0),"")</f>
        <v/>
      </c>
      <c r="Q18" s="123" t="str">
        <f>IFERROR(VLOOKUP(J18,'اختيار المقررات'!AU11:AY60,5,0),"")</f>
        <v/>
      </c>
      <c r="R18" s="125"/>
      <c r="S18" s="126"/>
      <c r="T18" s="126"/>
      <c r="U18" s="127"/>
      <c r="V18" s="140" t="str">
        <f>IFERROR(SMALL('اختيار المقررات'!$AL$8:$AL$57,'اختيار المقررات'!AM15),"")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B18" s="1"/>
      <c r="AC18" s="207"/>
      <c r="AD18" s="207"/>
      <c r="AE18" s="474" t="str">
        <f t="shared" si="2"/>
        <v>الهاتف:</v>
      </c>
      <c r="AF18" s="474"/>
      <c r="AG18" s="474"/>
      <c r="AH18" s="207"/>
      <c r="AI18" s="207"/>
      <c r="AJ18" s="1"/>
    </row>
    <row r="19" spans="2:36" s="142" customFormat="1" ht="19.2" customHeight="1" thickTop="1" thickBot="1" x14ac:dyDescent="0.35">
      <c r="B19" s="120" t="str">
        <f t="shared" si="3"/>
        <v/>
      </c>
      <c r="C19" s="121" t="str">
        <f>IFERROR(VLOOKUP(B19,'اختيار المقررات'!AU12:AY61,2,0),"")</f>
        <v/>
      </c>
      <c r="D19" s="473" t="str">
        <f>IFERROR(VLOOKUP(B19,'اختيار المقررات'!AU12:AY61,3,0),"")</f>
        <v/>
      </c>
      <c r="E19" s="473"/>
      <c r="F19" s="473"/>
      <c r="G19" s="473"/>
      <c r="H19" s="122" t="str">
        <f>IFERROR(VLOOKUP(B19,'اختيار المقررات'!AU12:AY61,4,0),"")</f>
        <v/>
      </c>
      <c r="I19" s="123" t="str">
        <f>IFERROR(VLOOKUP(B19,'اختيار المقررات'!AU12:AY61,5,0),"")</f>
        <v/>
      </c>
      <c r="J19" s="124" t="str">
        <f>V27</f>
        <v/>
      </c>
      <c r="K19" s="121" t="str">
        <f>IFERROR(VLOOKUP(J19,'اختيار المقررات'!AU12:AY61,2,0),"")</f>
        <v/>
      </c>
      <c r="L19" s="473" t="str">
        <f>IFERROR(VLOOKUP(J19,'اختيار المقررات'!AU12:AY61,3,0),"")</f>
        <v/>
      </c>
      <c r="M19" s="473"/>
      <c r="N19" s="473"/>
      <c r="O19" s="473"/>
      <c r="P19" s="122" t="str">
        <f>IFERROR(VLOOKUP(J19,'اختيار المقررات'!AU12:AY61,4,0),"")</f>
        <v/>
      </c>
      <c r="Q19" s="123" t="str">
        <f>IFERROR(VLOOKUP(J19,'اختيار المقررات'!AU12:AY61,5,0),"")</f>
        <v/>
      </c>
      <c r="R19" s="125"/>
      <c r="S19" s="128"/>
      <c r="T19" s="128"/>
      <c r="U19" s="129"/>
      <c r="V19" s="140" t="str">
        <f>IFERROR(SMALL('اختيار المقررات'!$AL$8:$AL$57,'اختيار المقررات'!AM16),"")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B19" s="1"/>
      <c r="AC19" s="207"/>
      <c r="AD19" s="207"/>
      <c r="AE19" s="474" t="str">
        <f t="shared" si="2"/>
        <v>العنوان :</v>
      </c>
      <c r="AF19" s="474"/>
      <c r="AG19" s="474"/>
      <c r="AH19" s="207"/>
      <c r="AI19" s="207"/>
      <c r="AJ19" s="1"/>
    </row>
    <row r="20" spans="2:36" s="142" customFormat="1" ht="6.75" customHeight="1" thickTop="1" thickBot="1" x14ac:dyDescent="0.35">
      <c r="B20" s="120"/>
      <c r="C20" s="125"/>
      <c r="D20" s="125"/>
      <c r="E20" s="125"/>
      <c r="F20" s="125"/>
      <c r="G20" s="125"/>
      <c r="H20" s="129"/>
      <c r="I20" s="129"/>
      <c r="J20" s="124"/>
      <c r="K20" s="125"/>
      <c r="L20" s="125"/>
      <c r="M20" s="125"/>
      <c r="N20" s="125"/>
      <c r="O20" s="125"/>
      <c r="P20" s="129"/>
      <c r="Q20" s="129"/>
      <c r="R20" s="125"/>
      <c r="S20" s="128"/>
      <c r="T20" s="128"/>
      <c r="U20" s="129"/>
      <c r="V20" s="140" t="str">
        <f>IFERROR(SMALL('اختيار المقررات'!$AL$8:$AL$57,'اختيار المقررات'!AM17),"")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B20" s="1"/>
      <c r="AC20" s="207"/>
      <c r="AD20" s="207"/>
      <c r="AE20" s="474" t="str">
        <f t="shared" si="2"/>
        <v/>
      </c>
      <c r="AF20" s="474"/>
      <c r="AG20" s="474"/>
      <c r="AH20" s="207"/>
      <c r="AI20" s="207"/>
      <c r="AJ20" s="1"/>
    </row>
    <row r="21" spans="2:36" ht="18" customHeight="1" thickTop="1" thickBot="1" x14ac:dyDescent="0.35">
      <c r="B21" s="529" t="s">
        <v>72</v>
      </c>
      <c r="C21" s="465"/>
      <c r="D21" s="465"/>
      <c r="E21" s="465"/>
      <c r="F21" s="209">
        <f>'اختيار المقررات'!V30</f>
        <v>0</v>
      </c>
      <c r="G21" s="465" t="s">
        <v>73</v>
      </c>
      <c r="H21" s="465"/>
      <c r="I21" s="465"/>
      <c r="J21" s="465"/>
      <c r="K21" s="466">
        <f>'اختيار المقررات'!AB30</f>
        <v>0</v>
      </c>
      <c r="L21" s="466"/>
      <c r="M21" s="465" t="s">
        <v>74</v>
      </c>
      <c r="N21" s="465"/>
      <c r="O21" s="465"/>
      <c r="P21" s="465"/>
      <c r="Q21" s="466">
        <f>'اختيار المقررات'!AG30</f>
        <v>0</v>
      </c>
      <c r="R21" s="467"/>
      <c r="S21" s="130"/>
      <c r="V21" s="140" t="str">
        <f>IFERROR(SMALL('اختيار المقررات'!$AL$8:$AL$57,'اختيار المقررات'!AM18),"")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207"/>
      <c r="AD21" s="207"/>
      <c r="AE21" s="474" t="str">
        <f t="shared" si="2"/>
        <v/>
      </c>
      <c r="AF21" s="474"/>
      <c r="AG21" s="474"/>
      <c r="AH21" s="207"/>
      <c r="AI21" s="207"/>
    </row>
    <row r="22" spans="2:36" ht="18" customHeight="1" thickTop="1" x14ac:dyDescent="0.3">
      <c r="B22" s="459" t="s">
        <v>67</v>
      </c>
      <c r="C22" s="460"/>
      <c r="D22" s="460"/>
      <c r="E22" s="489">
        <f>'اختيار المقررات'!F5</f>
        <v>0</v>
      </c>
      <c r="F22" s="489"/>
      <c r="G22" s="489"/>
      <c r="H22" s="489"/>
      <c r="I22" s="490"/>
      <c r="J22" s="210" t="s">
        <v>57</v>
      </c>
      <c r="K22" s="496">
        <f>'اختيار المقررات'!Q5</f>
        <v>0</v>
      </c>
      <c r="L22" s="496"/>
      <c r="M22" s="211" t="s">
        <v>0</v>
      </c>
      <c r="N22" s="494">
        <f>'اختيار المقررات'!W5</f>
        <v>0</v>
      </c>
      <c r="O22" s="494"/>
      <c r="P22" s="212"/>
      <c r="Q22" s="212"/>
      <c r="R22" s="212"/>
      <c r="U22" s="143" t="str">
        <f>IFERROR(SMALL('اختيار المقررات'!$C$35:$C$38,'اختيار المقررات'!AM8),"")</f>
        <v/>
      </c>
      <c r="V22" s="140" t="str">
        <f>IFERROR(SMALL('اختيار المقررات'!$AL$8:$AL$57,'اختيار المقررات'!AM19),"")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207"/>
      <c r="AD22" s="207"/>
      <c r="AE22" s="474" t="str">
        <f t="shared" si="2"/>
        <v/>
      </c>
      <c r="AF22" s="474"/>
      <c r="AG22" s="474"/>
      <c r="AH22" s="207"/>
      <c r="AI22" s="207"/>
    </row>
    <row r="23" spans="2:36" ht="18" customHeight="1" x14ac:dyDescent="0.3">
      <c r="B23" s="455" t="s">
        <v>71</v>
      </c>
      <c r="C23" s="456"/>
      <c r="D23" s="456"/>
      <c r="E23" s="491">
        <f>'اختيار المقررات'!AD27</f>
        <v>2000</v>
      </c>
      <c r="F23" s="491"/>
      <c r="G23" s="492"/>
      <c r="H23" s="475" t="s">
        <v>281</v>
      </c>
      <c r="I23" s="476"/>
      <c r="J23" s="477">
        <f>'اختيار المقررات'!AB5</f>
        <v>0</v>
      </c>
      <c r="K23" s="477"/>
      <c r="L23" s="478"/>
      <c r="M23" s="476" t="s">
        <v>210</v>
      </c>
      <c r="N23" s="476"/>
      <c r="O23" s="476" t="s">
        <v>209</v>
      </c>
      <c r="P23" s="476"/>
      <c r="Q23" s="476" t="s">
        <v>282</v>
      </c>
      <c r="R23" s="480"/>
      <c r="U23" s="143" t="str">
        <f>IFERROR(SMALL('اختيار المقررات'!$C$35:$C$38,'اختيار المقررات'!AM9),"")</f>
        <v/>
      </c>
      <c r="V23" s="140" t="str">
        <f>IFERROR(SMALL('اختيار المقررات'!$AL$8:$AL$57,'اختيار المقررات'!AM20),"")</f>
        <v/>
      </c>
      <c r="W23" s="140" t="str">
        <f>IFERROR(SMALL($D$37:$D$40,BH3),"")</f>
        <v/>
      </c>
    </row>
    <row r="24" spans="2:36" ht="18" customHeight="1" x14ac:dyDescent="0.3">
      <c r="B24" s="455" t="s">
        <v>208</v>
      </c>
      <c r="C24" s="456"/>
      <c r="D24" s="456"/>
      <c r="E24" s="483">
        <f>'اختيار المقررات'!W27</f>
        <v>0</v>
      </c>
      <c r="F24" s="483"/>
      <c r="G24" s="484"/>
      <c r="H24" s="482" t="s">
        <v>25</v>
      </c>
      <c r="I24" s="479"/>
      <c r="J24" s="483">
        <f>'اختيار المقررات'!N26</f>
        <v>0</v>
      </c>
      <c r="K24" s="483"/>
      <c r="L24" s="484"/>
      <c r="M24" s="479"/>
      <c r="N24" s="479"/>
      <c r="O24" s="479"/>
      <c r="P24" s="479"/>
      <c r="Q24" s="479"/>
      <c r="R24" s="481"/>
      <c r="U24" s="143" t="str">
        <f>IFERROR(SMALL('اختيار المقررات'!$C$35:$C$38,'اختيار المقررات'!AM10),"")</f>
        <v/>
      </c>
      <c r="V24" s="140" t="str">
        <f>IFERROR(SMALL('اختيار المقررات'!$AL$8:$AL$57,'اختيار المقررات'!AM21),"")</f>
        <v/>
      </c>
    </row>
    <row r="25" spans="2:36" ht="18" customHeight="1" x14ac:dyDescent="0.3">
      <c r="B25" s="455" t="s">
        <v>207</v>
      </c>
      <c r="C25" s="456"/>
      <c r="D25" s="456"/>
      <c r="E25" s="483" t="e">
        <f>'اختيار المقررات'!N28</f>
        <v>#N/A</v>
      </c>
      <c r="F25" s="483"/>
      <c r="G25" s="484"/>
      <c r="H25" s="485" t="s">
        <v>20</v>
      </c>
      <c r="I25" s="486"/>
      <c r="J25" s="213" t="str">
        <f>'اختيار المقررات'!N29</f>
        <v>لا</v>
      </c>
      <c r="K25" s="213"/>
      <c r="L25" s="214"/>
      <c r="M25" s="479"/>
      <c r="N25" s="479"/>
      <c r="O25" s="479"/>
      <c r="P25" s="479"/>
      <c r="Q25" s="479"/>
      <c r="R25" s="481"/>
      <c r="U25" s="140" t="str">
        <f>IFERROR(SMALL('اختيار المقررات'!$C$35:$C$38,'اختيار المقررات'!AM11),"")</f>
        <v/>
      </c>
    </row>
    <row r="26" spans="2:36" ht="18" customHeight="1" x14ac:dyDescent="0.3">
      <c r="B26" s="457" t="s">
        <v>23</v>
      </c>
      <c r="C26" s="458"/>
      <c r="D26" s="458"/>
      <c r="E26" s="493" t="e">
        <f>'اختيار المقررات'!W28</f>
        <v>#N/A</v>
      </c>
      <c r="F26" s="493"/>
      <c r="G26" s="493"/>
      <c r="H26" s="215"/>
      <c r="I26" s="215"/>
      <c r="J26" s="216"/>
      <c r="K26" s="216"/>
      <c r="L26" s="217"/>
      <c r="M26" s="479"/>
      <c r="N26" s="479"/>
      <c r="O26" s="479"/>
      <c r="P26" s="479"/>
      <c r="Q26" s="479"/>
      <c r="R26" s="481"/>
      <c r="V26" s="140" t="str">
        <f>IFERROR(SMALL('اختيار المقررات'!$AL$8:$AL$57,'اختيار المقررات'!AM22),"")</f>
        <v/>
      </c>
    </row>
    <row r="27" spans="2:36" ht="18" customHeight="1" x14ac:dyDescent="0.3">
      <c r="B27" s="470" t="str">
        <f>IF(B28&lt;&gt;"",'اختيار المقررات'!C27,"")</f>
        <v/>
      </c>
      <c r="C27" s="471"/>
      <c r="D27" s="471"/>
      <c r="E27" s="471"/>
      <c r="F27" s="471"/>
      <c r="G27" s="471"/>
      <c r="H27" s="471"/>
      <c r="I27" s="471"/>
      <c r="J27" s="471"/>
      <c r="K27" s="471"/>
      <c r="L27" s="472"/>
      <c r="M27" s="479"/>
      <c r="N27" s="479"/>
      <c r="O27" s="479"/>
      <c r="P27" s="479"/>
      <c r="Q27" s="479"/>
      <c r="R27" s="481"/>
      <c r="V27" s="140" t="str">
        <f>IFERROR(SMALL('اختيار المقررات'!$AL$8:$AL$57,'اختيار المقررات'!AM23),"")</f>
        <v/>
      </c>
    </row>
    <row r="28" spans="2:36" ht="18" customHeight="1" x14ac:dyDescent="0.3">
      <c r="B28" s="497" t="str">
        <f>'اختيار المقررات'!C28</f>
        <v/>
      </c>
      <c r="C28" s="468"/>
      <c r="D28" s="468"/>
      <c r="E28" s="468"/>
      <c r="F28" s="468"/>
      <c r="G28" s="468" t="str">
        <f>'اختيار المقررات'!C29</f>
        <v/>
      </c>
      <c r="H28" s="468"/>
      <c r="I28" s="468"/>
      <c r="J28" s="468"/>
      <c r="K28" s="468"/>
      <c r="L28" s="469"/>
      <c r="M28" s="479"/>
      <c r="N28" s="479"/>
      <c r="O28" s="479"/>
      <c r="P28" s="479"/>
      <c r="Q28" s="479"/>
      <c r="R28" s="481"/>
      <c r="V28" s="140" t="str">
        <f>IFERROR(SMALL('اختيار المقررات'!$AL$8:$AL$57,'اختيار المقررات'!AM24),"")</f>
        <v/>
      </c>
    </row>
    <row r="29" spans="2:36" ht="18" customHeight="1" x14ac:dyDescent="0.3">
      <c r="B29" s="497" t="str">
        <f>'اختيار المقررات'!C30</f>
        <v/>
      </c>
      <c r="C29" s="468"/>
      <c r="D29" s="468"/>
      <c r="E29" s="468"/>
      <c r="F29" s="468"/>
      <c r="G29" s="468" t="str">
        <f>'اختيار المقررات'!C31</f>
        <v/>
      </c>
      <c r="H29" s="468"/>
      <c r="I29" s="468"/>
      <c r="J29" s="468"/>
      <c r="K29" s="468"/>
      <c r="L29" s="469"/>
      <c r="M29" s="479"/>
      <c r="N29" s="479"/>
      <c r="O29" s="479"/>
      <c r="P29" s="479"/>
      <c r="Q29" s="479"/>
      <c r="R29" s="481"/>
      <c r="V29" s="140" t="str">
        <f>IFERROR(SMALL('اختيار المقررات'!$AL$8:$AL$57,'اختيار المقررات'!AM25),"")</f>
        <v/>
      </c>
      <c r="W29" s="58" t="str">
        <f>U22</f>
        <v/>
      </c>
    </row>
    <row r="30" spans="2:36" ht="16.5" customHeight="1" x14ac:dyDescent="0.3">
      <c r="B30" s="495" t="str">
        <f>'اختيار المقررات'!C32</f>
        <v/>
      </c>
      <c r="C30" s="487"/>
      <c r="D30" s="487"/>
      <c r="E30" s="487"/>
      <c r="F30" s="487"/>
      <c r="G30" s="487"/>
      <c r="H30" s="487"/>
      <c r="I30" s="487"/>
      <c r="J30" s="487"/>
      <c r="K30" s="487"/>
      <c r="L30" s="488"/>
      <c r="M30" s="479"/>
      <c r="N30" s="479"/>
      <c r="O30" s="479"/>
      <c r="P30" s="479"/>
      <c r="Q30" s="479"/>
      <c r="R30" s="481"/>
      <c r="V30" s="140" t="str">
        <f>IFERROR(SMALL('اختيار المقررات'!$AL$8:$AL$57,'اختيار المقررات'!AM26),"")</f>
        <v/>
      </c>
      <c r="W30" s="58" t="str">
        <f>U24</f>
        <v/>
      </c>
    </row>
    <row r="31" spans="2:36" ht="16.5" customHeight="1" x14ac:dyDescent="0.3">
      <c r="B31" s="461" t="s">
        <v>283</v>
      </c>
      <c r="C31" s="462"/>
      <c r="D31" s="462"/>
      <c r="E31" s="462"/>
      <c r="F31" s="462"/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3"/>
      <c r="V31" s="140" t="str">
        <f>IFERROR(SMALL('اختيار المقررات'!$AL$8:$AL$57,'اختيار المقررات'!AM27),"")</f>
        <v/>
      </c>
      <c r="W31" s="58" t="str">
        <f>U23</f>
        <v/>
      </c>
    </row>
    <row r="32" spans="2:36" ht="16.5" customHeight="1" x14ac:dyDescent="0.3">
      <c r="B32" s="443" t="s">
        <v>24</v>
      </c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W32" s="58"/>
    </row>
    <row r="33" spans="2:36" s="243" customFormat="1" ht="18" customHeight="1" x14ac:dyDescent="0.3">
      <c r="B33" s="444" t="s">
        <v>30</v>
      </c>
      <c r="C33" s="444"/>
      <c r="D33" s="444"/>
      <c r="E33" s="444"/>
      <c r="F33" s="444"/>
      <c r="G33" s="444"/>
      <c r="H33" s="444"/>
      <c r="I33" s="444"/>
      <c r="J33" s="444"/>
      <c r="K33" s="444"/>
      <c r="L33" s="444"/>
      <c r="M33" s="444"/>
      <c r="N33" s="444"/>
      <c r="O33" s="444"/>
      <c r="P33" s="444"/>
      <c r="Q33" s="444"/>
      <c r="R33" s="444"/>
      <c r="W33" s="244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</row>
    <row r="34" spans="2:36" s="243" customFormat="1" ht="18" customHeight="1" x14ac:dyDescent="0.3">
      <c r="B34" s="445" t="s">
        <v>31</v>
      </c>
      <c r="C34" s="445"/>
      <c r="D34" s="445"/>
      <c r="E34" s="445"/>
      <c r="F34" s="446" t="e">
        <f>'اختيار المقررات'!W29</f>
        <v>#N/A</v>
      </c>
      <c r="G34" s="446"/>
      <c r="H34" s="464" t="str">
        <f>IF(D4="أنثى","ليرة سورية فقط لا غير من الطالبة","ليرة سورية فقط لا غير من الطالب")&amp;" "&amp;H2</f>
        <v xml:space="preserve">ليرة سورية فقط لا غير من الطالب </v>
      </c>
      <c r="I34" s="464"/>
      <c r="J34" s="464"/>
      <c r="K34" s="464"/>
      <c r="L34" s="464"/>
      <c r="M34" s="464"/>
      <c r="N34" s="464"/>
      <c r="O34" s="464"/>
      <c r="P34" s="464"/>
      <c r="Q34" s="464"/>
      <c r="R34" s="464"/>
      <c r="V34" s="243" t="str">
        <f>IFERROR(SMALL('اختيار المقررات'!$AL$8:$AL$57,'اختيار المقررات'!AM28),"")</f>
        <v/>
      </c>
      <c r="W34" s="244" t="str">
        <f>U25</f>
        <v/>
      </c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</row>
    <row r="35" spans="2:36" s="243" customFormat="1" ht="18" customHeight="1" x14ac:dyDescent="0.3">
      <c r="B35" s="445" t="str">
        <f>IF(D4="أنثى","رقمها الامتحاني","رقمه الامتحاني")</f>
        <v>رقمه الامتحاني</v>
      </c>
      <c r="C35" s="445"/>
      <c r="D35" s="445"/>
      <c r="E35" s="446">
        <f>D2</f>
        <v>0</v>
      </c>
      <c r="F35" s="446"/>
      <c r="G35" s="445" t="s">
        <v>32</v>
      </c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V35" s="243" t="str">
        <f>IFERROR(SMALL('اختيار المقررات'!$AL$8:$AL$57,'اختيار المقررات'!AM29),"")</f>
        <v/>
      </c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</row>
    <row r="36" spans="2:36" s="243" customFormat="1" ht="18" customHeight="1" x14ac:dyDescent="0.3">
      <c r="B36" s="246"/>
      <c r="C36" s="247"/>
      <c r="D36" s="454"/>
      <c r="E36" s="454"/>
      <c r="F36" s="454"/>
      <c r="G36" s="454"/>
      <c r="H36" s="454"/>
      <c r="I36" s="248"/>
      <c r="J36" s="248"/>
      <c r="K36" s="246"/>
      <c r="L36" s="247"/>
      <c r="M36" s="454"/>
      <c r="N36" s="454"/>
      <c r="O36" s="454"/>
      <c r="P36" s="454"/>
      <c r="Q36" s="248"/>
      <c r="R36" s="248"/>
      <c r="V36" s="243" t="str">
        <f>IFERROR(SMALL('اختيار المقررات'!$AL$8:$AL$57,'اختيار المقررات'!AM30),"")</f>
        <v/>
      </c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</row>
    <row r="37" spans="2:36" s="243" customFormat="1" ht="18" customHeight="1" x14ac:dyDescent="0.3">
      <c r="B37" s="443" t="s">
        <v>26</v>
      </c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3"/>
      <c r="R37" s="443"/>
      <c r="V37" s="243" t="str">
        <f>IFERROR(SMALL('اختيار المقررات'!$AL$8:$AL$57,'اختيار المقررات'!AM31),"")</f>
        <v/>
      </c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</row>
    <row r="38" spans="2:36" s="243" customFormat="1" ht="18" customHeight="1" x14ac:dyDescent="0.3">
      <c r="B38" s="444" t="s">
        <v>30</v>
      </c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V38" s="243" t="str">
        <f>IFERROR(SMALL('اختيار المقررات'!$AL$8:$AL$57,'اختيار المقررات'!AM32),"")</f>
        <v/>
      </c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</row>
    <row r="39" spans="2:36" s="243" customFormat="1" ht="18" customHeight="1" x14ac:dyDescent="0.3">
      <c r="B39" s="445" t="s">
        <v>31</v>
      </c>
      <c r="C39" s="445"/>
      <c r="D39" s="445"/>
      <c r="E39" s="445"/>
      <c r="F39" s="446" t="e">
        <f>'اختيار المقررات'!AD29</f>
        <v>#N/A</v>
      </c>
      <c r="G39" s="446"/>
      <c r="H39" s="447" t="str">
        <f>H34</f>
        <v xml:space="preserve">ليرة سورية فقط لا غير من الطالب </v>
      </c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V39" s="243" t="str">
        <f>IFERROR(SMALL('اختيار المقررات'!$AL$8:$AL$57,'اختيار المقررات'!AM33),"")</f>
        <v/>
      </c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</row>
    <row r="40" spans="2:36" s="243" customFormat="1" ht="18" customHeight="1" x14ac:dyDescent="0.3">
      <c r="B40" s="448" t="str">
        <f>B35</f>
        <v>رقمه الامتحاني</v>
      </c>
      <c r="C40" s="448"/>
      <c r="D40" s="448"/>
      <c r="E40" s="449">
        <f>E35</f>
        <v>0</v>
      </c>
      <c r="F40" s="449"/>
      <c r="G40" s="450" t="str">
        <f>G35</f>
        <v xml:space="preserve">وتحويله إلى حساب التعليم المفتوح رقم ck1-10173186 وتسليم إشعار القبض إلى صاحب العلاقة  </v>
      </c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V40" s="243" t="str">
        <f>IFERROR(SMALL('اختيار المقررات'!$AL$8:$AL$57,'اختيار المقررات'!AM34),"")</f>
        <v/>
      </c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</row>
    <row r="41" spans="2:36" s="243" customFormat="1" ht="18" customHeight="1" x14ac:dyDescent="0.3"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V41" s="243" t="str">
        <f>IFERROR(SMALL('اختيار المقررات'!$AL$8:$AL$57,'اختيار المقررات'!AM35),"")</f>
        <v/>
      </c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</row>
    <row r="42" spans="2:36" ht="22.5" customHeight="1" x14ac:dyDescent="0.3">
      <c r="B42" s="1"/>
      <c r="C42" s="1"/>
      <c r="D42" s="1"/>
      <c r="E42" s="1"/>
      <c r="F42" s="218"/>
      <c r="G42" s="218"/>
      <c r="H42" s="218"/>
      <c r="I42" s="218"/>
      <c r="J42" s="1"/>
      <c r="K42" s="1"/>
      <c r="L42" s="1"/>
      <c r="M42" s="1"/>
      <c r="N42" s="218"/>
      <c r="O42" s="218"/>
      <c r="P42" s="218"/>
      <c r="Q42" s="1"/>
      <c r="R42" s="1"/>
      <c r="V42" s="140" t="str">
        <f>IFERROR(SMALL('اختيار المقررات'!$AL$8:$AL$57,'اختيار المقررات'!AM36),"")</f>
        <v/>
      </c>
    </row>
    <row r="43" spans="2:36" ht="22.5" customHeight="1" x14ac:dyDescent="0.3">
      <c r="B43" s="1"/>
      <c r="C43" s="219"/>
      <c r="D43" s="219"/>
      <c r="E43" s="219"/>
      <c r="F43" s="219"/>
      <c r="G43" s="219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V43" s="140" t="str">
        <f>IFERROR(SMALL('اختيار المقررات'!$AL$8:$AL$57,'اختيار المقررات'!AM37),"")</f>
        <v/>
      </c>
    </row>
    <row r="44" spans="2:36" ht="17.25" customHeight="1" x14ac:dyDescent="0.3">
      <c r="B44" s="1"/>
      <c r="C44" s="219"/>
      <c r="D44" s="219"/>
      <c r="E44" s="219"/>
      <c r="F44" s="219"/>
      <c r="G44" s="219"/>
      <c r="H44" s="220"/>
      <c r="I44" s="220"/>
      <c r="J44" s="220"/>
      <c r="K44" s="220"/>
      <c r="L44" s="220"/>
      <c r="M44" s="220"/>
      <c r="N44" s="220"/>
      <c r="O44" s="220"/>
      <c r="P44" s="220"/>
      <c r="Q44" s="220"/>
      <c r="R44" s="220"/>
      <c r="V44" s="140" t="str">
        <f>IFERROR(SMALL('اختيار المقررات'!$AL$8:$AL$57,'اختيار المقررات'!AM38),"")</f>
        <v/>
      </c>
    </row>
    <row r="45" spans="2:36" ht="17.25" customHeight="1" x14ac:dyDescent="0.3">
      <c r="B45" s="1"/>
      <c r="C45" s="219"/>
      <c r="D45" s="219"/>
      <c r="E45" s="219"/>
      <c r="F45" s="219"/>
      <c r="G45" s="219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  <c r="V45" s="140" t="str">
        <f>IFERROR(SMALL('اختيار المقررات'!$AL$8:$AL$57,'اختيار المقررات'!AM39),"")</f>
        <v/>
      </c>
    </row>
    <row r="46" spans="2:36" ht="20.25" customHeight="1" x14ac:dyDescent="0.3">
      <c r="B46" s="126"/>
      <c r="C46" s="126"/>
      <c r="D46" s="126"/>
      <c r="E46" s="126"/>
      <c r="F46" s="126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V46" s="140" t="str">
        <f>IFERROR(SMALL('اختيار المقررات'!$AL$8:$AL$57,'اختيار المقررات'!AM40),"")</f>
        <v/>
      </c>
    </row>
    <row r="47" spans="2:36" ht="14.4" x14ac:dyDescent="0.3">
      <c r="B47" s="126"/>
      <c r="C47" s="126"/>
      <c r="D47" s="126"/>
      <c r="E47" s="126"/>
      <c r="F47" s="126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V47" s="140" t="str">
        <f>IFERROR(SMALL('اختيار المقررات'!$AL$8:$AL$57,'اختيار المقررات'!AM41),"")</f>
        <v/>
      </c>
    </row>
    <row r="48" spans="2:36" ht="14.4" x14ac:dyDescent="0.3">
      <c r="B48" s="126"/>
      <c r="C48" s="126"/>
      <c r="D48" s="126"/>
      <c r="E48" s="126"/>
      <c r="F48" s="126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V48" s="140" t="str">
        <f>IFERROR(SMALL('اختيار المقررات'!$AL$8:$AL$57,'اختيار المقررات'!AM42),"")</f>
        <v/>
      </c>
    </row>
    <row r="49" spans="2:22" x14ac:dyDescent="0.3">
      <c r="B49" s="141"/>
      <c r="C49" s="141"/>
      <c r="D49" s="141"/>
      <c r="E49" s="132"/>
      <c r="F49" s="132"/>
      <c r="G49" s="132"/>
      <c r="H49" s="132"/>
      <c r="I49" s="141"/>
      <c r="J49" s="141"/>
      <c r="K49" s="141"/>
      <c r="L49" s="141"/>
      <c r="M49" s="132"/>
      <c r="N49" s="132"/>
      <c r="O49" s="132"/>
      <c r="P49" s="141"/>
      <c r="Q49" s="141"/>
      <c r="R49" s="141"/>
      <c r="V49" s="140" t="str">
        <f>IFERROR(SMALL('اختيار المقررات'!$AL$8:$AL$57,'اختيار المقررات'!AM43),"")</f>
        <v/>
      </c>
    </row>
  </sheetData>
  <sheetProtection algorithmName="SHA-512" hashValue="FWJyBdC4sZ+NEzo+anblu8Eb3w3VfdvSp6oHIPXUEwQ8kiNpBJhFhgdd/UjaPp4i3A5vQilbTQHp7KjCDHWHYA==" saltValue="RBrRWmFhSgOgv9F614S5zw==" spinCount="100000" sheet="1" selectLockedCells="1" selectUnlockedCells="1"/>
  <mergeCells count="133">
    <mergeCell ref="L15:O15"/>
    <mergeCell ref="D16:G16"/>
    <mergeCell ref="L16:O16"/>
    <mergeCell ref="D17:G17"/>
    <mergeCell ref="D19:G19"/>
    <mergeCell ref="L19:O19"/>
    <mergeCell ref="B21:E21"/>
    <mergeCell ref="N4:P4"/>
    <mergeCell ref="Q4:R4"/>
    <mergeCell ref="L17:O17"/>
    <mergeCell ref="D18:G18"/>
    <mergeCell ref="L18:O18"/>
    <mergeCell ref="D12:G12"/>
    <mergeCell ref="L12:O12"/>
    <mergeCell ref="B4:C4"/>
    <mergeCell ref="B7:C7"/>
    <mergeCell ref="B8:R9"/>
    <mergeCell ref="D13:G13"/>
    <mergeCell ref="L13:O13"/>
    <mergeCell ref="B5:C5"/>
    <mergeCell ref="D5:E5"/>
    <mergeCell ref="F5:G5"/>
    <mergeCell ref="H5:I5"/>
    <mergeCell ref="K5:M5"/>
    <mergeCell ref="N5:O5"/>
    <mergeCell ref="P5:R5"/>
    <mergeCell ref="D4:E4"/>
    <mergeCell ref="F4:G4"/>
    <mergeCell ref="H4:I4"/>
    <mergeCell ref="K4:M4"/>
    <mergeCell ref="N6:O6"/>
    <mergeCell ref="B1:E1"/>
    <mergeCell ref="B2:C2"/>
    <mergeCell ref="D2:E2"/>
    <mergeCell ref="F2:G2"/>
    <mergeCell ref="H2:J2"/>
    <mergeCell ref="M2:N2"/>
    <mergeCell ref="P2:R2"/>
    <mergeCell ref="F3:G3"/>
    <mergeCell ref="H3:I3"/>
    <mergeCell ref="K2:L2"/>
    <mergeCell ref="B3:C3"/>
    <mergeCell ref="D3:E3"/>
    <mergeCell ref="N3:P3"/>
    <mergeCell ref="Q3:R3"/>
    <mergeCell ref="F1:R1"/>
    <mergeCell ref="J3:L3"/>
    <mergeCell ref="F7:G7"/>
    <mergeCell ref="H7:I7"/>
    <mergeCell ref="K7:R7"/>
    <mergeCell ref="B6:C6"/>
    <mergeCell ref="D6:E6"/>
    <mergeCell ref="F6:G6"/>
    <mergeCell ref="H6:I6"/>
    <mergeCell ref="K6:M6"/>
    <mergeCell ref="P6:R6"/>
    <mergeCell ref="D7:E7"/>
    <mergeCell ref="AD1:AH2"/>
    <mergeCell ref="AE3:AG3"/>
    <mergeCell ref="AE4:AG4"/>
    <mergeCell ref="AE5:AG5"/>
    <mergeCell ref="AE6:AG6"/>
    <mergeCell ref="AE7:AG7"/>
    <mergeCell ref="AE8:AG8"/>
    <mergeCell ref="AE9:AG9"/>
    <mergeCell ref="AE10:AG10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AE20:AG20"/>
    <mergeCell ref="AE21:AG21"/>
    <mergeCell ref="AE22:AG22"/>
    <mergeCell ref="H23:I23"/>
    <mergeCell ref="J23:L23"/>
    <mergeCell ref="M23:N30"/>
    <mergeCell ref="O23:P30"/>
    <mergeCell ref="Q23:R30"/>
    <mergeCell ref="H24:I24"/>
    <mergeCell ref="J24:L24"/>
    <mergeCell ref="H25:I25"/>
    <mergeCell ref="G30:L30"/>
    <mergeCell ref="E22:I22"/>
    <mergeCell ref="E23:G23"/>
    <mergeCell ref="E25:G25"/>
    <mergeCell ref="E24:G24"/>
    <mergeCell ref="E26:G26"/>
    <mergeCell ref="N22:O22"/>
    <mergeCell ref="B30:F30"/>
    <mergeCell ref="K22:L22"/>
    <mergeCell ref="B28:F28"/>
    <mergeCell ref="B29:F29"/>
    <mergeCell ref="G21:J21"/>
    <mergeCell ref="K21:L21"/>
    <mergeCell ref="L11:Q11"/>
    <mergeCell ref="D11:I11"/>
    <mergeCell ref="B35:D35"/>
    <mergeCell ref="E35:F35"/>
    <mergeCell ref="G35:R35"/>
    <mergeCell ref="D36:H36"/>
    <mergeCell ref="B23:D23"/>
    <mergeCell ref="B24:D24"/>
    <mergeCell ref="B25:D25"/>
    <mergeCell ref="B26:D26"/>
    <mergeCell ref="B22:D22"/>
    <mergeCell ref="B31:R31"/>
    <mergeCell ref="B34:E34"/>
    <mergeCell ref="F34:G34"/>
    <mergeCell ref="H34:R34"/>
    <mergeCell ref="M36:P36"/>
    <mergeCell ref="M21:P21"/>
    <mergeCell ref="Q21:R21"/>
    <mergeCell ref="G28:L28"/>
    <mergeCell ref="G29:L29"/>
    <mergeCell ref="B27:L27"/>
    <mergeCell ref="D14:G14"/>
    <mergeCell ref="L14:O14"/>
    <mergeCell ref="D15:G15"/>
    <mergeCell ref="B32:R32"/>
    <mergeCell ref="B33:R33"/>
    <mergeCell ref="B37:R37"/>
    <mergeCell ref="B38:R38"/>
    <mergeCell ref="B39:E39"/>
    <mergeCell ref="F39:G39"/>
    <mergeCell ref="H39:R39"/>
    <mergeCell ref="B40:D40"/>
    <mergeCell ref="E40:F40"/>
    <mergeCell ref="G40:R40"/>
  </mergeCells>
  <conditionalFormatting sqref="C12:Q19 C11:D11 J11:L11">
    <cfRule type="expression" dxfId="27" priority="24">
      <formula>$C$12=""</formula>
    </cfRule>
  </conditionalFormatting>
  <conditionalFormatting sqref="C13:I19">
    <cfRule type="expression" dxfId="26" priority="23">
      <formula>$C$13=""</formula>
    </cfRule>
  </conditionalFormatting>
  <conditionalFormatting sqref="C14:I19">
    <cfRule type="expression" dxfId="25" priority="22">
      <formula>$C$14=""</formula>
    </cfRule>
  </conditionalFormatting>
  <conditionalFormatting sqref="C15:I19">
    <cfRule type="expression" dxfId="24" priority="21">
      <formula>$C$15=""</formula>
    </cfRule>
  </conditionalFormatting>
  <conditionalFormatting sqref="C16:I19">
    <cfRule type="expression" dxfId="23" priority="20">
      <formula>$C$16=""</formula>
    </cfRule>
  </conditionalFormatting>
  <conditionalFormatting sqref="C17:I19">
    <cfRule type="expression" dxfId="22" priority="19">
      <formula>$C$17=""</formula>
    </cfRule>
  </conditionalFormatting>
  <conditionalFormatting sqref="C18:I19">
    <cfRule type="expression" dxfId="21" priority="18">
      <formula>$C$18=""</formula>
    </cfRule>
  </conditionalFormatting>
  <conditionalFormatting sqref="C19:I19">
    <cfRule type="expression" dxfId="20" priority="17">
      <formula>$C$19=""</formula>
    </cfRule>
  </conditionalFormatting>
  <conditionalFormatting sqref="K12:Q19 K11:L11">
    <cfRule type="expression" dxfId="19" priority="16">
      <formula>$K$12=""</formula>
    </cfRule>
  </conditionalFormatting>
  <conditionalFormatting sqref="K13:Q19">
    <cfRule type="expression" dxfId="18" priority="15">
      <formula>$K$13=""</formula>
    </cfRule>
  </conditionalFormatting>
  <conditionalFormatting sqref="K14:Q19">
    <cfRule type="expression" dxfId="17" priority="14">
      <formula>$K$14=""</formula>
    </cfRule>
  </conditionalFormatting>
  <conditionalFormatting sqref="K15:Q19">
    <cfRule type="expression" dxfId="16" priority="13">
      <formula>$K$15=""</formula>
    </cfRule>
  </conditionalFormatting>
  <conditionalFormatting sqref="K16:Q19">
    <cfRule type="expression" dxfId="15" priority="12">
      <formula>$K$16=""</formula>
    </cfRule>
  </conditionalFormatting>
  <conditionalFormatting sqref="K17:Q19">
    <cfRule type="expression" dxfId="14" priority="11">
      <formula>$K$17=""</formula>
    </cfRule>
  </conditionalFormatting>
  <conditionalFormatting sqref="K18:Q19">
    <cfRule type="expression" dxfId="13" priority="10">
      <formula>$K$18=""</formula>
    </cfRule>
  </conditionalFormatting>
  <conditionalFormatting sqref="K19:Q19">
    <cfRule type="expression" dxfId="12" priority="9">
      <formula>$K$19=""</formula>
    </cfRule>
  </conditionalFormatting>
  <conditionalFormatting sqref="AE3:AE22">
    <cfRule type="expression" dxfId="11" priority="7">
      <formula>AE3&lt;&gt;""</formula>
    </cfRule>
  </conditionalFormatting>
  <conditionalFormatting sqref="AC1">
    <cfRule type="expression" dxfId="10" priority="6">
      <formula>AC1&lt;&gt;""</formula>
    </cfRule>
  </conditionalFormatting>
  <conditionalFormatting sqref="AD1:AH2">
    <cfRule type="expression" dxfId="9" priority="5">
      <formula>$AD$1&lt;&gt;""</formula>
    </cfRule>
  </conditionalFormatting>
  <conditionalFormatting sqref="B36:R36">
    <cfRule type="expression" dxfId="8" priority="2">
      <formula>#REF!="لا"</formula>
    </cfRule>
  </conditionalFormatting>
  <conditionalFormatting sqref="B40:R40 B39:H39 B37:R38">
    <cfRule type="expression" dxfId="7" priority="3">
      <formula>$K$25="لا"</formula>
    </cfRule>
  </conditionalFormatting>
  <conditionalFormatting sqref="C44:R45">
    <cfRule type="expression" dxfId="6" priority="4">
      <formula>$K$26="لا"</formula>
    </cfRule>
  </conditionalFormatting>
  <conditionalFormatting sqref="B32:R33">
    <cfRule type="expression" dxfId="5" priority="1">
      <formula>$K$25="لا"</formula>
    </cfRule>
  </conditionalFormatting>
  <printOptions horizontalCentered="1" verticalCentered="1"/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GF5"/>
  <sheetViews>
    <sheetView showGridLines="0" rightToLeft="1" topLeftCell="FK1" zoomScale="98" zoomScaleNormal="98" workbookViewId="0">
      <pane ySplit="4" topLeftCell="A5" activePane="bottomLeft" state="frozen"/>
      <selection pane="bottomLeft" activeCell="FY8" sqref="FY8"/>
    </sheetView>
  </sheetViews>
  <sheetFormatPr defaultColWidth="9" defaultRowHeight="14.4" x14ac:dyDescent="0.3"/>
  <cols>
    <col min="1" max="1" width="13.88671875" style="66" customWidth="1"/>
    <col min="2" max="2" width="10.88671875" style="66" bestFit="1" customWidth="1"/>
    <col min="3" max="4" width="9" style="66"/>
    <col min="5" max="5" width="10.109375" style="66" bestFit="1" customWidth="1"/>
    <col min="6" max="6" width="11.33203125" style="84" bestFit="1" customWidth="1"/>
    <col min="7" max="7" width="11.33203125" style="84" customWidth="1"/>
    <col min="8" max="8" width="13.33203125" style="66" customWidth="1"/>
    <col min="9" max="9" width="9" style="66"/>
    <col min="10" max="10" width="11.77734375" style="66" bestFit="1" customWidth="1"/>
    <col min="11" max="11" width="21.88671875" style="66" customWidth="1"/>
    <col min="12" max="12" width="24.33203125" style="66" customWidth="1"/>
    <col min="13" max="13" width="17.77734375" style="66" customWidth="1"/>
    <col min="14" max="14" width="20.109375" style="66" customWidth="1"/>
    <col min="15" max="15" width="31.77734375" style="66" customWidth="1"/>
    <col min="16" max="17" width="14.77734375" style="66" customWidth="1"/>
    <col min="18" max="18" width="19.109375" style="66" customWidth="1"/>
    <col min="19" max="19" width="14.109375" style="66" customWidth="1"/>
    <col min="20" max="20" width="6.88671875" style="66" bestFit="1" customWidth="1"/>
    <col min="21" max="25" width="4.33203125" style="66" customWidth="1"/>
    <col min="26" max="74" width="4.33203125" style="1" customWidth="1"/>
    <col min="75" max="77" width="4.21875" style="1" customWidth="1"/>
    <col min="78" max="163" width="4.33203125" style="1" customWidth="1"/>
    <col min="164" max="182" width="9" style="66"/>
    <col min="183" max="183" width="14.109375" style="66" bestFit="1" customWidth="1"/>
    <col min="184" max="187" width="9" style="66"/>
    <col min="188" max="188" width="9" style="66" customWidth="1"/>
    <col min="189" max="16384" width="9" style="66"/>
  </cols>
  <sheetData>
    <row r="1" spans="1:188" s="60" customFormat="1" ht="18.600000000000001" thickBot="1" x14ac:dyDescent="0.35">
      <c r="A1" s="577"/>
      <c r="B1" s="579">
        <v>9999</v>
      </c>
      <c r="C1" s="578" t="s">
        <v>33</v>
      </c>
      <c r="D1" s="578"/>
      <c r="E1" s="578"/>
      <c r="F1" s="578"/>
      <c r="G1" s="578"/>
      <c r="H1" s="578"/>
      <c r="I1" s="578"/>
      <c r="J1" s="578"/>
      <c r="K1" s="584" t="s">
        <v>16</v>
      </c>
      <c r="L1" s="559" t="s">
        <v>63</v>
      </c>
      <c r="M1" s="565" t="s">
        <v>61</v>
      </c>
      <c r="N1" s="565" t="s">
        <v>62</v>
      </c>
      <c r="O1" s="567" t="s">
        <v>54</v>
      </c>
      <c r="P1" s="578" t="s">
        <v>34</v>
      </c>
      <c r="Q1" s="578"/>
      <c r="R1" s="578"/>
      <c r="S1" s="580" t="s">
        <v>9</v>
      </c>
      <c r="T1" s="575" t="s">
        <v>35</v>
      </c>
      <c r="U1" s="575"/>
      <c r="V1" s="575"/>
      <c r="W1" s="575"/>
      <c r="X1" s="575"/>
      <c r="Y1" s="575"/>
      <c r="Z1" s="575"/>
      <c r="AA1" s="575"/>
      <c r="AB1" s="575"/>
      <c r="AC1" s="575"/>
      <c r="AD1" s="575"/>
      <c r="AE1" s="575"/>
      <c r="AF1" s="575"/>
      <c r="AG1" s="575"/>
      <c r="AH1" s="575"/>
      <c r="AI1" s="575"/>
      <c r="AJ1" s="575"/>
      <c r="AK1" s="575"/>
      <c r="AL1" s="575"/>
      <c r="AM1" s="575"/>
      <c r="AN1" s="575"/>
      <c r="AO1" s="575"/>
      <c r="AP1" s="575"/>
      <c r="AQ1" s="575"/>
      <c r="AR1" s="575" t="s">
        <v>21</v>
      </c>
      <c r="AS1" s="575"/>
      <c r="AT1" s="575"/>
      <c r="AU1" s="575"/>
      <c r="AV1" s="575"/>
      <c r="AW1" s="575"/>
      <c r="AX1" s="575"/>
      <c r="AY1" s="575"/>
      <c r="AZ1" s="575"/>
      <c r="BA1" s="575"/>
      <c r="BB1" s="575"/>
      <c r="BC1" s="575"/>
      <c r="BD1" s="575"/>
      <c r="BE1" s="575"/>
      <c r="BF1" s="575"/>
      <c r="BG1" s="575"/>
      <c r="BH1" s="575"/>
      <c r="BI1" s="575"/>
      <c r="BJ1" s="575"/>
      <c r="BK1" s="575"/>
      <c r="BL1" s="575"/>
      <c r="BM1" s="575"/>
      <c r="BN1" s="575"/>
      <c r="BO1" s="575"/>
      <c r="BP1" s="575"/>
      <c r="BQ1" s="575"/>
      <c r="BR1" s="575"/>
      <c r="BS1" s="575"/>
      <c r="BT1" s="575"/>
      <c r="BU1" s="575"/>
      <c r="BV1" s="575"/>
      <c r="BW1" s="575"/>
      <c r="BX1" s="575"/>
      <c r="BY1" s="575"/>
      <c r="BZ1" s="575" t="s">
        <v>36</v>
      </c>
      <c r="CA1" s="575"/>
      <c r="CB1" s="575"/>
      <c r="CC1" s="575"/>
      <c r="CD1" s="575"/>
      <c r="CE1" s="575"/>
      <c r="CF1" s="575"/>
      <c r="CG1" s="575"/>
      <c r="CH1" s="575"/>
      <c r="CI1" s="575"/>
      <c r="CJ1" s="575"/>
      <c r="CK1" s="575"/>
      <c r="CL1" s="575"/>
      <c r="CM1" s="575"/>
      <c r="CN1" s="575"/>
      <c r="CO1" s="575"/>
      <c r="CP1" s="575"/>
      <c r="CQ1" s="575"/>
      <c r="CR1" s="575"/>
      <c r="CS1" s="575"/>
      <c r="CT1" s="575"/>
      <c r="CU1" s="575"/>
      <c r="CV1" s="575"/>
      <c r="CW1" s="575"/>
      <c r="CX1" s="575"/>
      <c r="CY1" s="575"/>
      <c r="CZ1" s="575" t="s">
        <v>37</v>
      </c>
      <c r="DA1" s="575"/>
      <c r="DB1" s="575"/>
      <c r="DC1" s="575"/>
      <c r="DD1" s="575"/>
      <c r="DE1" s="575"/>
      <c r="DF1" s="575"/>
      <c r="DG1" s="575"/>
      <c r="DH1" s="575"/>
      <c r="DI1" s="575"/>
      <c r="DJ1" s="575"/>
      <c r="DK1" s="575"/>
      <c r="DL1" s="575"/>
      <c r="DM1" s="575"/>
      <c r="DN1" s="575"/>
      <c r="DO1" s="575"/>
      <c r="DP1" s="575"/>
      <c r="DQ1" s="575"/>
      <c r="DR1" s="575"/>
      <c r="DS1" s="575"/>
      <c r="DT1" s="575"/>
      <c r="DU1" s="575"/>
      <c r="DV1" s="575"/>
      <c r="DW1" s="575"/>
      <c r="DX1" s="575"/>
      <c r="DY1" s="575"/>
      <c r="DZ1" s="575"/>
      <c r="EA1" s="575"/>
      <c r="EB1" s="575"/>
      <c r="EC1" s="575"/>
      <c r="ED1" s="575"/>
      <c r="EE1" s="575"/>
      <c r="EF1" s="575"/>
      <c r="EG1" s="575"/>
      <c r="EH1" s="575"/>
      <c r="EI1" s="575"/>
      <c r="EJ1" s="575"/>
      <c r="EK1" s="575"/>
      <c r="EL1" s="575"/>
      <c r="EM1" s="575"/>
      <c r="EN1" s="575"/>
      <c r="EO1" s="575"/>
      <c r="EP1" s="575"/>
      <c r="EQ1" s="575"/>
      <c r="ER1" s="575"/>
      <c r="ES1" s="575"/>
      <c r="ET1" s="575"/>
      <c r="EU1" s="575"/>
      <c r="EV1" s="575"/>
      <c r="EW1" s="575"/>
      <c r="EX1" s="575"/>
      <c r="EY1" s="575"/>
      <c r="EZ1" s="575"/>
      <c r="FA1" s="575"/>
      <c r="FB1" s="575"/>
      <c r="FC1" s="576"/>
      <c r="FD1" s="223"/>
      <c r="FE1" s="223"/>
      <c r="FF1" s="223"/>
      <c r="FG1" s="223"/>
      <c r="FH1" s="607" t="s">
        <v>1</v>
      </c>
      <c r="FI1" s="608"/>
      <c r="FJ1" s="609"/>
      <c r="FK1" s="610"/>
      <c r="FL1" s="612" t="s">
        <v>295</v>
      </c>
      <c r="FM1" s="613"/>
      <c r="FN1" s="613"/>
      <c r="FO1" s="613"/>
      <c r="FP1" s="613"/>
      <c r="FQ1" s="613"/>
      <c r="FR1" s="613"/>
      <c r="FS1" s="613"/>
      <c r="FT1" s="535" t="s">
        <v>38</v>
      </c>
      <c r="FU1" s="536"/>
      <c r="FV1" s="536"/>
      <c r="FW1" s="537"/>
      <c r="FX1" s="535" t="s">
        <v>296</v>
      </c>
      <c r="FY1" s="536"/>
      <c r="FZ1" s="536"/>
      <c r="GA1" s="537"/>
      <c r="GB1"/>
    </row>
    <row r="2" spans="1:188" s="60" customFormat="1" ht="18.600000000000001" thickBot="1" x14ac:dyDescent="0.35">
      <c r="A2" s="577"/>
      <c r="B2" s="579"/>
      <c r="C2" s="578"/>
      <c r="D2" s="578"/>
      <c r="E2" s="578"/>
      <c r="F2" s="578"/>
      <c r="G2" s="578"/>
      <c r="H2" s="578"/>
      <c r="I2" s="578"/>
      <c r="J2" s="578"/>
      <c r="K2" s="585"/>
      <c r="L2" s="560"/>
      <c r="M2" s="566"/>
      <c r="N2" s="566"/>
      <c r="O2" s="568"/>
      <c r="P2" s="578"/>
      <c r="Q2" s="578"/>
      <c r="R2" s="578"/>
      <c r="S2" s="580"/>
      <c r="T2" s="569" t="s">
        <v>17</v>
      </c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113"/>
      <c r="AI2" s="113"/>
      <c r="AJ2" s="113"/>
      <c r="AK2" s="113"/>
      <c r="AL2" s="113"/>
      <c r="AM2" s="113"/>
      <c r="AN2" s="113"/>
      <c r="AO2" s="113"/>
      <c r="AP2" s="62"/>
      <c r="AQ2" s="62"/>
      <c r="AR2" s="569" t="s">
        <v>17</v>
      </c>
      <c r="AS2" s="569"/>
      <c r="AT2" s="569"/>
      <c r="AU2" s="569"/>
      <c r="AV2" s="569"/>
      <c r="AW2" s="569"/>
      <c r="AX2" s="569"/>
      <c r="AY2" s="569"/>
      <c r="AZ2" s="569"/>
      <c r="BA2" s="569"/>
      <c r="BB2" s="569"/>
      <c r="BC2" s="569"/>
      <c r="BD2" s="569"/>
      <c r="BE2" s="569"/>
      <c r="BF2" s="569"/>
      <c r="BG2" s="569"/>
      <c r="BH2" s="569"/>
      <c r="BI2" s="569"/>
      <c r="BJ2" s="569"/>
      <c r="BK2" s="569"/>
      <c r="BL2" s="61"/>
      <c r="BM2" s="61"/>
      <c r="BN2" s="570" t="s">
        <v>18</v>
      </c>
      <c r="BO2" s="570"/>
      <c r="BP2" s="570"/>
      <c r="BQ2" s="570"/>
      <c r="BR2" s="570"/>
      <c r="BS2" s="570"/>
      <c r="BT2" s="570"/>
      <c r="BU2" s="570"/>
      <c r="BV2" s="570"/>
      <c r="BW2" s="570"/>
      <c r="BX2" s="62"/>
      <c r="BY2" s="62"/>
      <c r="BZ2" s="569" t="s">
        <v>17</v>
      </c>
      <c r="CA2" s="569"/>
      <c r="CB2" s="569"/>
      <c r="CC2" s="569"/>
      <c r="CD2" s="569"/>
      <c r="CE2" s="569"/>
      <c r="CF2" s="569"/>
      <c r="CG2" s="569"/>
      <c r="CH2" s="569"/>
      <c r="CI2" s="569"/>
      <c r="CJ2" s="221"/>
      <c r="CK2" s="221"/>
      <c r="CL2" s="61"/>
      <c r="CM2" s="61"/>
      <c r="CN2" s="570" t="s">
        <v>18</v>
      </c>
      <c r="CO2" s="570"/>
      <c r="CP2" s="570"/>
      <c r="CQ2" s="570"/>
      <c r="CR2" s="570"/>
      <c r="CS2" s="570"/>
      <c r="CT2" s="570"/>
      <c r="CU2" s="570"/>
      <c r="CV2" s="570"/>
      <c r="CW2" s="570"/>
      <c r="CX2" s="62"/>
      <c r="CY2" s="62"/>
      <c r="CZ2" s="569" t="s">
        <v>17</v>
      </c>
      <c r="DA2" s="569"/>
      <c r="DB2" s="569"/>
      <c r="DC2" s="569"/>
      <c r="DD2" s="569"/>
      <c r="DE2" s="569"/>
      <c r="DF2" s="569"/>
      <c r="DG2" s="569"/>
      <c r="DH2" s="569"/>
      <c r="DI2" s="569"/>
      <c r="DJ2" s="61"/>
      <c r="DK2" s="61"/>
      <c r="DL2" s="570" t="s">
        <v>18</v>
      </c>
      <c r="DM2" s="570"/>
      <c r="DN2" s="570"/>
      <c r="DO2" s="570"/>
      <c r="DP2" s="570"/>
      <c r="DQ2" s="570"/>
      <c r="DR2" s="570"/>
      <c r="DS2" s="570"/>
      <c r="DT2" s="570"/>
      <c r="DU2" s="570"/>
      <c r="DV2" s="111"/>
      <c r="DW2" s="111"/>
      <c r="DX2" s="111"/>
      <c r="DY2" s="111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62"/>
      <c r="FC2" s="62"/>
      <c r="FD2" s="222"/>
      <c r="FE2" s="222"/>
      <c r="FF2" s="222"/>
      <c r="FG2" s="222"/>
      <c r="FH2" s="538"/>
      <c r="FI2" s="539"/>
      <c r="FJ2" s="540"/>
      <c r="FK2" s="611"/>
      <c r="FL2" s="614"/>
      <c r="FM2" s="615"/>
      <c r="FN2" s="615"/>
      <c r="FO2" s="615"/>
      <c r="FP2" s="615"/>
      <c r="FQ2" s="615"/>
      <c r="FR2" s="615"/>
      <c r="FS2" s="615"/>
      <c r="FT2" s="538"/>
      <c r="FU2" s="539"/>
      <c r="FV2" s="539"/>
      <c r="FW2" s="540"/>
      <c r="FX2" s="538"/>
      <c r="FY2" s="539"/>
      <c r="FZ2" s="539"/>
      <c r="GA2" s="540"/>
      <c r="GB2"/>
    </row>
    <row r="3" spans="1:188" ht="80.25" customHeight="1" thickBot="1" x14ac:dyDescent="0.35">
      <c r="A3" s="63" t="s">
        <v>2</v>
      </c>
      <c r="B3" s="64" t="s">
        <v>39</v>
      </c>
      <c r="C3" s="64" t="s">
        <v>40</v>
      </c>
      <c r="D3" s="64" t="s">
        <v>41</v>
      </c>
      <c r="E3" s="64" t="s">
        <v>6</v>
      </c>
      <c r="F3" s="65" t="s">
        <v>7</v>
      </c>
      <c r="G3" s="65" t="s">
        <v>81</v>
      </c>
      <c r="H3" s="64" t="s">
        <v>52</v>
      </c>
      <c r="I3" s="64" t="s">
        <v>11</v>
      </c>
      <c r="J3" s="64" t="s">
        <v>10</v>
      </c>
      <c r="K3" s="585"/>
      <c r="L3" s="560"/>
      <c r="M3" s="566"/>
      <c r="N3" s="566"/>
      <c r="O3" s="568"/>
      <c r="P3" s="563" t="s">
        <v>27</v>
      </c>
      <c r="Q3" s="563" t="s">
        <v>42</v>
      </c>
      <c r="R3" s="572" t="s">
        <v>14</v>
      </c>
      <c r="S3" s="580"/>
      <c r="T3" s="582" t="s">
        <v>110</v>
      </c>
      <c r="U3" s="553"/>
      <c r="V3" s="552" t="s">
        <v>111</v>
      </c>
      <c r="W3" s="553"/>
      <c r="X3" s="552" t="s">
        <v>112</v>
      </c>
      <c r="Y3" s="553"/>
      <c r="Z3" s="552" t="s">
        <v>113</v>
      </c>
      <c r="AA3" s="553"/>
      <c r="AB3" s="552" t="s">
        <v>114</v>
      </c>
      <c r="AC3" s="553"/>
      <c r="AD3" s="552" t="s">
        <v>115</v>
      </c>
      <c r="AE3" s="553"/>
      <c r="AF3" s="552" t="s">
        <v>179</v>
      </c>
      <c r="AG3" s="583"/>
      <c r="AH3" s="562" t="s">
        <v>116</v>
      </c>
      <c r="AI3" s="553"/>
      <c r="AJ3" s="552" t="s">
        <v>117</v>
      </c>
      <c r="AK3" s="553"/>
      <c r="AL3" s="552" t="s">
        <v>118</v>
      </c>
      <c r="AM3" s="553"/>
      <c r="AN3" s="552" t="s">
        <v>119</v>
      </c>
      <c r="AO3" s="553"/>
      <c r="AP3" s="552" t="s">
        <v>120</v>
      </c>
      <c r="AQ3" s="553"/>
      <c r="AR3" s="552" t="s">
        <v>157</v>
      </c>
      <c r="AS3" s="553"/>
      <c r="AT3" s="552" t="s">
        <v>155</v>
      </c>
      <c r="AU3" s="553"/>
      <c r="AV3" s="552" t="s">
        <v>158</v>
      </c>
      <c r="AW3" s="553"/>
      <c r="AX3" s="552" t="s">
        <v>159</v>
      </c>
      <c r="AY3" s="553"/>
      <c r="AZ3" s="552" t="s">
        <v>156</v>
      </c>
      <c r="BA3" s="553"/>
      <c r="BB3" s="552" t="s">
        <v>154</v>
      </c>
      <c r="BC3" s="562"/>
      <c r="BD3" s="586" t="s">
        <v>121</v>
      </c>
      <c r="BE3" s="553"/>
      <c r="BF3" s="552" t="s">
        <v>122</v>
      </c>
      <c r="BG3" s="553"/>
      <c r="BH3" s="552" t="s">
        <v>123</v>
      </c>
      <c r="BI3" s="553"/>
      <c r="BJ3" s="552" t="s">
        <v>124</v>
      </c>
      <c r="BK3" s="553"/>
      <c r="BL3" s="552" t="s">
        <v>125</v>
      </c>
      <c r="BM3" s="553"/>
      <c r="BN3" s="552" t="s">
        <v>126</v>
      </c>
      <c r="BO3" s="553"/>
      <c r="BP3" s="552" t="s">
        <v>180</v>
      </c>
      <c r="BQ3" s="562"/>
      <c r="BR3" s="574" t="s">
        <v>127</v>
      </c>
      <c r="BS3" s="553"/>
      <c r="BT3" s="552" t="s">
        <v>149</v>
      </c>
      <c r="BU3" s="553"/>
      <c r="BV3" s="552" t="s">
        <v>128</v>
      </c>
      <c r="BW3" s="553"/>
      <c r="BX3" s="552" t="s">
        <v>129</v>
      </c>
      <c r="BY3" s="553"/>
      <c r="BZ3" s="552" t="s">
        <v>120</v>
      </c>
      <c r="CA3" s="553"/>
      <c r="CB3" s="552" t="s">
        <v>163</v>
      </c>
      <c r="CC3" s="553"/>
      <c r="CD3" s="552" t="s">
        <v>299</v>
      </c>
      <c r="CE3" s="553"/>
      <c r="CF3" s="552" t="s">
        <v>162</v>
      </c>
      <c r="CG3" s="553"/>
      <c r="CH3" s="552" t="s">
        <v>164</v>
      </c>
      <c r="CI3" s="553"/>
      <c r="CJ3" s="552" t="s">
        <v>300</v>
      </c>
      <c r="CK3" s="553"/>
      <c r="CL3" s="552" t="s">
        <v>301</v>
      </c>
      <c r="CM3" s="554"/>
      <c r="CN3" s="571" t="s">
        <v>130</v>
      </c>
      <c r="CO3" s="541"/>
      <c r="CP3" s="541" t="s">
        <v>131</v>
      </c>
      <c r="CQ3" s="541"/>
      <c r="CR3" s="541" t="s">
        <v>132</v>
      </c>
      <c r="CS3" s="541"/>
      <c r="CT3" s="541" t="s">
        <v>133</v>
      </c>
      <c r="CU3" s="541"/>
      <c r="CV3" s="541" t="s">
        <v>134</v>
      </c>
      <c r="CW3" s="541"/>
      <c r="CX3" s="541" t="s">
        <v>135</v>
      </c>
      <c r="CY3" s="555"/>
      <c r="CZ3" s="556" t="s">
        <v>136</v>
      </c>
      <c r="DA3" s="541"/>
      <c r="DB3" s="541" t="s">
        <v>137</v>
      </c>
      <c r="DC3" s="541"/>
      <c r="DD3" s="541" t="s">
        <v>138</v>
      </c>
      <c r="DE3" s="541"/>
      <c r="DF3" s="541" t="s">
        <v>139</v>
      </c>
      <c r="DG3" s="541"/>
      <c r="DH3" s="541" t="s">
        <v>120</v>
      </c>
      <c r="DI3" s="541"/>
      <c r="DJ3" s="541" t="s">
        <v>167</v>
      </c>
      <c r="DK3" s="541"/>
      <c r="DL3" s="541" t="s">
        <v>168</v>
      </c>
      <c r="DM3" s="541"/>
      <c r="DN3" s="541" t="s">
        <v>165</v>
      </c>
      <c r="DO3" s="541"/>
      <c r="DP3" s="541" t="s">
        <v>171</v>
      </c>
      <c r="DQ3" s="546"/>
      <c r="DR3" s="541" t="s">
        <v>170</v>
      </c>
      <c r="DS3" s="541"/>
      <c r="DT3" s="541" t="s">
        <v>172</v>
      </c>
      <c r="DU3" s="541"/>
      <c r="DV3" s="541" t="s">
        <v>166</v>
      </c>
      <c r="DW3" s="541"/>
      <c r="DX3" s="541" t="s">
        <v>169</v>
      </c>
      <c r="DY3" s="541"/>
      <c r="DZ3" s="571" t="s">
        <v>140</v>
      </c>
      <c r="EA3" s="541"/>
      <c r="EB3" s="541" t="s">
        <v>141</v>
      </c>
      <c r="EC3" s="541"/>
      <c r="ED3" s="541" t="s">
        <v>142</v>
      </c>
      <c r="EE3" s="541"/>
      <c r="EF3" s="541" t="s">
        <v>143</v>
      </c>
      <c r="EG3" s="541"/>
      <c r="EH3" s="541" t="s">
        <v>144</v>
      </c>
      <c r="EI3" s="541"/>
      <c r="EJ3" s="541" t="s">
        <v>145</v>
      </c>
      <c r="EK3" s="541"/>
      <c r="EL3" s="541" t="s">
        <v>146</v>
      </c>
      <c r="EM3" s="541"/>
      <c r="EN3" s="541" t="s">
        <v>150</v>
      </c>
      <c r="EO3" s="541"/>
      <c r="EP3" s="541" t="s">
        <v>147</v>
      </c>
      <c r="EQ3" s="541"/>
      <c r="ER3" s="541" t="s">
        <v>148</v>
      </c>
      <c r="ES3" s="541"/>
      <c r="ET3" s="541" t="s">
        <v>120</v>
      </c>
      <c r="EU3" s="541"/>
      <c r="EV3" s="541" t="s">
        <v>174</v>
      </c>
      <c r="EW3" s="541"/>
      <c r="EX3" s="541" t="s">
        <v>173</v>
      </c>
      <c r="EY3" s="546" t="s">
        <v>173</v>
      </c>
      <c r="EZ3" s="541" t="s">
        <v>177</v>
      </c>
      <c r="FA3" s="541"/>
      <c r="FB3" s="541" t="s">
        <v>178</v>
      </c>
      <c r="FC3" s="541"/>
      <c r="FD3" s="541" t="s">
        <v>175</v>
      </c>
      <c r="FE3" s="541"/>
      <c r="FF3" s="541" t="s">
        <v>176</v>
      </c>
      <c r="FG3" s="541"/>
      <c r="FH3" s="548" t="s">
        <v>43</v>
      </c>
      <c r="FI3" s="550" t="s">
        <v>0</v>
      </c>
      <c r="FJ3" s="587" t="s">
        <v>44</v>
      </c>
      <c r="FK3" s="604" t="s">
        <v>67</v>
      </c>
      <c r="FL3" s="606" t="s">
        <v>297</v>
      </c>
      <c r="FM3" s="600" t="s">
        <v>298</v>
      </c>
      <c r="FN3" s="589" t="s">
        <v>25</v>
      </c>
      <c r="FO3" s="589" t="s">
        <v>207</v>
      </c>
      <c r="FP3" s="589" t="s">
        <v>23</v>
      </c>
      <c r="FQ3" s="589" t="s">
        <v>46</v>
      </c>
      <c r="FR3" s="601" t="s">
        <v>24</v>
      </c>
      <c r="FS3" s="601" t="s">
        <v>26</v>
      </c>
      <c r="FT3" s="602" t="s">
        <v>47</v>
      </c>
      <c r="FU3" s="590" t="s">
        <v>75</v>
      </c>
      <c r="FV3" s="590" t="s">
        <v>76</v>
      </c>
      <c r="FW3" s="592" t="s">
        <v>48</v>
      </c>
      <c r="FX3" s="594" t="s">
        <v>80</v>
      </c>
      <c r="FY3" s="596" t="s">
        <v>79</v>
      </c>
      <c r="FZ3" s="596" t="s">
        <v>78</v>
      </c>
      <c r="GA3" s="598" t="s">
        <v>77</v>
      </c>
      <c r="GB3" s="542" t="s">
        <v>312</v>
      </c>
      <c r="GC3" s="543"/>
      <c r="GD3" s="543"/>
      <c r="GE3" s="543"/>
      <c r="GF3" s="543"/>
    </row>
    <row r="4" spans="1:188" s="70" customFormat="1" ht="24.9" customHeight="1" thickBot="1" x14ac:dyDescent="0.35">
      <c r="A4" s="67" t="s">
        <v>2</v>
      </c>
      <c r="B4" s="68" t="s">
        <v>39</v>
      </c>
      <c r="C4" s="68" t="s">
        <v>40</v>
      </c>
      <c r="D4" s="68" t="s">
        <v>41</v>
      </c>
      <c r="E4" s="68" t="s">
        <v>6</v>
      </c>
      <c r="F4" s="69" t="s">
        <v>7</v>
      </c>
      <c r="G4" s="69"/>
      <c r="H4" s="68"/>
      <c r="I4" s="68" t="s">
        <v>11</v>
      </c>
      <c r="J4" s="68" t="s">
        <v>10</v>
      </c>
      <c r="K4" s="585"/>
      <c r="L4" s="561"/>
      <c r="M4" s="566"/>
      <c r="N4" s="566"/>
      <c r="O4" s="568"/>
      <c r="P4" s="564"/>
      <c r="Q4" s="564"/>
      <c r="R4" s="573"/>
      <c r="S4" s="581"/>
      <c r="T4" s="582">
        <v>41</v>
      </c>
      <c r="U4" s="553"/>
      <c r="V4" s="552">
        <v>42</v>
      </c>
      <c r="W4" s="553"/>
      <c r="X4" s="552">
        <v>43</v>
      </c>
      <c r="Y4" s="553"/>
      <c r="Z4" s="552">
        <v>44</v>
      </c>
      <c r="AA4" s="553"/>
      <c r="AB4" s="552">
        <v>45</v>
      </c>
      <c r="AC4" s="553"/>
      <c r="AD4" s="552">
        <v>46</v>
      </c>
      <c r="AE4" s="553"/>
      <c r="AF4" s="552">
        <v>101</v>
      </c>
      <c r="AG4" s="583"/>
      <c r="AH4" s="562">
        <v>47</v>
      </c>
      <c r="AI4" s="553"/>
      <c r="AJ4" s="552">
        <v>48</v>
      </c>
      <c r="AK4" s="553"/>
      <c r="AL4" s="552">
        <v>49</v>
      </c>
      <c r="AM4" s="553"/>
      <c r="AN4" s="552">
        <v>50</v>
      </c>
      <c r="AO4" s="553"/>
      <c r="AP4" s="552">
        <v>51</v>
      </c>
      <c r="AQ4" s="553"/>
      <c r="AR4" s="552">
        <v>141</v>
      </c>
      <c r="AS4" s="553"/>
      <c r="AT4" s="552">
        <v>143</v>
      </c>
      <c r="AU4" s="553"/>
      <c r="AV4" s="552">
        <v>144</v>
      </c>
      <c r="AW4" s="553"/>
      <c r="AX4" s="552">
        <v>146</v>
      </c>
      <c r="AY4" s="553"/>
      <c r="AZ4" s="552">
        <v>147</v>
      </c>
      <c r="BA4" s="553"/>
      <c r="BB4" s="552">
        <v>148</v>
      </c>
      <c r="BC4" s="562"/>
      <c r="BD4" s="586">
        <v>52</v>
      </c>
      <c r="BE4" s="553"/>
      <c r="BF4" s="552">
        <v>53</v>
      </c>
      <c r="BG4" s="553"/>
      <c r="BH4" s="552">
        <v>54</v>
      </c>
      <c r="BI4" s="553"/>
      <c r="BJ4" s="552">
        <v>55</v>
      </c>
      <c r="BK4" s="553"/>
      <c r="BL4" s="552">
        <v>56</v>
      </c>
      <c r="BM4" s="553"/>
      <c r="BN4" s="552">
        <v>57</v>
      </c>
      <c r="BO4" s="553"/>
      <c r="BP4" s="552">
        <v>201</v>
      </c>
      <c r="BQ4" s="562"/>
      <c r="BR4" s="574">
        <v>58</v>
      </c>
      <c r="BS4" s="553"/>
      <c r="BT4" s="552">
        <v>59</v>
      </c>
      <c r="BU4" s="553"/>
      <c r="BV4" s="552">
        <v>60</v>
      </c>
      <c r="BW4" s="553"/>
      <c r="BX4" s="552">
        <v>61</v>
      </c>
      <c r="BY4" s="553"/>
      <c r="BZ4" s="552">
        <v>62</v>
      </c>
      <c r="CA4" s="553"/>
      <c r="CB4" s="552">
        <v>149</v>
      </c>
      <c r="CC4" s="553"/>
      <c r="CD4" s="552">
        <v>151</v>
      </c>
      <c r="CE4" s="553"/>
      <c r="CF4" s="552">
        <v>152</v>
      </c>
      <c r="CG4" s="553"/>
      <c r="CH4" s="552">
        <v>153</v>
      </c>
      <c r="CI4" s="553"/>
      <c r="CJ4" s="557">
        <v>154</v>
      </c>
      <c r="CK4" s="558"/>
      <c r="CL4" s="552">
        <v>155</v>
      </c>
      <c r="CM4" s="554"/>
      <c r="CN4" s="571">
        <v>63</v>
      </c>
      <c r="CO4" s="541"/>
      <c r="CP4" s="541">
        <v>64</v>
      </c>
      <c r="CQ4" s="541"/>
      <c r="CR4" s="541">
        <v>65</v>
      </c>
      <c r="CS4" s="541"/>
      <c r="CT4" s="541">
        <v>66</v>
      </c>
      <c r="CU4" s="541"/>
      <c r="CV4" s="541">
        <v>67</v>
      </c>
      <c r="CW4" s="541"/>
      <c r="CX4" s="541">
        <v>68</v>
      </c>
      <c r="CY4" s="555"/>
      <c r="CZ4" s="556">
        <v>69</v>
      </c>
      <c r="DA4" s="541"/>
      <c r="DB4" s="541">
        <v>70</v>
      </c>
      <c r="DC4" s="541"/>
      <c r="DD4" s="541">
        <v>71</v>
      </c>
      <c r="DE4" s="541"/>
      <c r="DF4" s="541">
        <v>72</v>
      </c>
      <c r="DG4" s="541"/>
      <c r="DH4" s="541">
        <v>73</v>
      </c>
      <c r="DI4" s="541"/>
      <c r="DJ4" s="541">
        <v>157</v>
      </c>
      <c r="DK4" s="541"/>
      <c r="DL4" s="541">
        <v>158</v>
      </c>
      <c r="DM4" s="541"/>
      <c r="DN4" s="541">
        <v>159</v>
      </c>
      <c r="DO4" s="541"/>
      <c r="DP4" s="541">
        <v>160</v>
      </c>
      <c r="DQ4" s="546"/>
      <c r="DR4" s="541">
        <v>162</v>
      </c>
      <c r="DS4" s="541"/>
      <c r="DT4" s="541">
        <v>164</v>
      </c>
      <c r="DU4" s="541"/>
      <c r="DV4" s="541">
        <v>165</v>
      </c>
      <c r="DW4" s="541"/>
      <c r="DX4" s="541">
        <v>166</v>
      </c>
      <c r="DY4" s="541"/>
      <c r="DZ4" s="571">
        <v>74</v>
      </c>
      <c r="EA4" s="541"/>
      <c r="EB4" s="541">
        <v>75</v>
      </c>
      <c r="EC4" s="541"/>
      <c r="ED4" s="541">
        <v>76</v>
      </c>
      <c r="EE4" s="541"/>
      <c r="EF4" s="541">
        <v>77</v>
      </c>
      <c r="EG4" s="541"/>
      <c r="EH4" s="541">
        <v>78</v>
      </c>
      <c r="EI4" s="541"/>
      <c r="EJ4" s="541">
        <v>79</v>
      </c>
      <c r="EK4" s="541"/>
      <c r="EL4" s="541">
        <v>80</v>
      </c>
      <c r="EM4" s="541"/>
      <c r="EN4" s="541">
        <v>81</v>
      </c>
      <c r="EO4" s="541"/>
      <c r="EP4" s="541">
        <v>82</v>
      </c>
      <c r="EQ4" s="541"/>
      <c r="ER4" s="541">
        <v>83</v>
      </c>
      <c r="ES4" s="541"/>
      <c r="ET4" s="541">
        <v>84</v>
      </c>
      <c r="EU4" s="541"/>
      <c r="EV4" s="547">
        <v>169</v>
      </c>
      <c r="EW4" s="547"/>
      <c r="EX4" s="541">
        <v>170</v>
      </c>
      <c r="EY4" s="546"/>
      <c r="EZ4" s="544">
        <v>174</v>
      </c>
      <c r="FA4" s="545"/>
      <c r="FB4" s="541">
        <v>175</v>
      </c>
      <c r="FC4" s="541"/>
      <c r="FD4" s="541">
        <v>178</v>
      </c>
      <c r="FE4" s="541"/>
      <c r="FF4" s="541">
        <v>178</v>
      </c>
      <c r="FG4" s="541"/>
      <c r="FH4" s="549"/>
      <c r="FI4" s="551"/>
      <c r="FJ4" s="588"/>
      <c r="FK4" s="605"/>
      <c r="FL4" s="606"/>
      <c r="FM4" s="600"/>
      <c r="FN4" s="589"/>
      <c r="FO4" s="589"/>
      <c r="FP4" s="589"/>
      <c r="FQ4" s="589"/>
      <c r="FR4" s="601"/>
      <c r="FS4" s="601"/>
      <c r="FT4" s="603"/>
      <c r="FU4" s="591"/>
      <c r="FV4" s="591"/>
      <c r="FW4" s="593"/>
      <c r="FX4" s="595"/>
      <c r="FY4" s="597"/>
      <c r="FZ4" s="597"/>
      <c r="GA4" s="599"/>
      <c r="GB4" s="542"/>
      <c r="GC4" s="543"/>
      <c r="GD4" s="543"/>
      <c r="GE4" s="543"/>
      <c r="GF4" s="543"/>
    </row>
    <row r="5" spans="1:188" s="83" customFormat="1" ht="24.9" customHeight="1" x14ac:dyDescent="0.65">
      <c r="A5" s="71">
        <f>'اختيار المقررات'!E1</f>
        <v>0</v>
      </c>
      <c r="B5" s="72" t="str">
        <f>'اختيار المقررات'!L1</f>
        <v/>
      </c>
      <c r="C5" s="72" t="str">
        <f>'اختيار المقررات'!Q1</f>
        <v/>
      </c>
      <c r="D5" s="72" t="str">
        <f>'اختيار المقررات'!W1</f>
        <v/>
      </c>
      <c r="E5" s="72" t="str">
        <f>'اختيار المقررات'!AE1</f>
        <v/>
      </c>
      <c r="F5" s="73" t="str">
        <f>'اختيار المقررات'!AB1</f>
        <v/>
      </c>
      <c r="G5" s="73" t="str">
        <f>'اختيار المقررات'!AB3</f>
        <v>غير سوري</v>
      </c>
      <c r="H5" s="261">
        <f>'اختيار المقررات'!Q3</f>
        <v>0</v>
      </c>
      <c r="I5" s="72" t="str">
        <f>'اختيار المقررات'!E3</f>
        <v/>
      </c>
      <c r="J5" s="74" t="str">
        <f>'اختيار المقررات'!L3</f>
        <v/>
      </c>
      <c r="K5" s="75" t="str">
        <f>'اختيار المقررات'!Q4</f>
        <v/>
      </c>
      <c r="L5" s="76" t="str">
        <f>'اختيار المقررات'!AE3</f>
        <v>لايوجد</v>
      </c>
      <c r="M5" s="87">
        <f>'اختيار المقررات'!W4</f>
        <v>0</v>
      </c>
      <c r="N5" s="87">
        <f>'اختيار المقررات'!AB4</f>
        <v>0</v>
      </c>
      <c r="O5" s="262">
        <f>'اختيار المقررات'!AE4</f>
        <v>0</v>
      </c>
      <c r="P5" s="77" t="str">
        <f>'اختيار المقررات'!E4</f>
        <v/>
      </c>
      <c r="Q5" s="78" t="str">
        <f>'اختيار المقررات'!Q4</f>
        <v/>
      </c>
      <c r="R5" s="79" t="str">
        <f>'اختيار المقررات'!Q4</f>
        <v/>
      </c>
      <c r="S5" s="80" t="e">
        <f>'اختيار المقررات'!E2</f>
        <v>#N/A</v>
      </c>
      <c r="T5" s="81" t="str">
        <f>IFERROR(IF(OR(T4=الإستمارة!$C$12,T4=الإستمارة!$C$13,T4=الإستمارة!$C$14,T4=الإستمارة!$C$15,T4=الإستمارة!$C$16,T4=الإستمارة!$C$17,T4=الإستمارة!$C$18,T4=الإستمارة!$C$19),VLOOKUP(T4,الإستمارة!$C$12:$H$19,6,0),VLOOKUP(T4,الإستمارة!$L$12:$P$19,6,0)),"")</f>
        <v/>
      </c>
      <c r="U5" s="82" t="e">
        <f>VLOOKUP(T4,'اختيار المقررات'!$AV$5:$AY$54,4,0)</f>
        <v>#N/A</v>
      </c>
      <c r="V5" s="81" t="str">
        <f>IFERROR(IF(OR(V4=الإستمارة!$C$12,V4=الإستمارة!$C$13,V4=الإستمارة!$C$14,V4=الإستمارة!$C$15,V4=الإستمارة!$C$16,V4=الإستمارة!$C$17,V4=الإستمارة!$C$18,V4=الإستمارة!$C$19),VLOOKUP(V4,الإستمارة!$C$12:$H$19,6,0),VLOOKUP(V4,الإستمارة!$L$12:$P$19,6,0)),"")</f>
        <v/>
      </c>
      <c r="W5" s="82" t="e">
        <f>VLOOKUP(V4,'اختيار المقررات'!$AV$5:$AY$54,4,0)</f>
        <v>#N/A</v>
      </c>
      <c r="X5" s="81" t="str">
        <f>IFERROR(IF(OR(X4=الإستمارة!$C$12,X4=الإستمارة!$C$13,X4=الإستمارة!$C$14,X4=الإستمارة!$C$15,X4=الإستمارة!$C$16,X4=الإستمارة!$C$17,X4=الإستمارة!$C$18,X4=الإستمارة!$C$19),VLOOKUP(X4,الإستمارة!$C$12:$H$19,6,0),VLOOKUP(X4,الإستمارة!$L$12:$P$19,6,0)),"")</f>
        <v/>
      </c>
      <c r="Y5" s="82" t="e">
        <f>VLOOKUP(X4,'اختيار المقررات'!$AV$5:$AY$54,4,0)</f>
        <v>#N/A</v>
      </c>
      <c r="Z5" s="81" t="str">
        <f>IFERROR(IF(OR(Z4=الإستمارة!$C$12,Z4=الإستمارة!$C$13,Z4=الإستمارة!$C$14,Z4=الإستمارة!$C$15,Z4=الإستمارة!$C$16,Z4=الإستمارة!$C$17,Z4=الإستمارة!$C$18,Z4=الإستمارة!$C$19),VLOOKUP(Z4,الإستمارة!$C$12:$H$19,6,0),VLOOKUP(Z4,الإستمارة!$L$12:$P$19,6,0)),"")</f>
        <v/>
      </c>
      <c r="AA5" s="82" t="e">
        <f>VLOOKUP(Z4,'اختيار المقررات'!$AV$5:$AY$54,4,0)</f>
        <v>#N/A</v>
      </c>
      <c r="AB5" s="81" t="str">
        <f>IFERROR(IF(OR(AB4=الإستمارة!$C$12,AB4=الإستمارة!$C$13,AB4=الإستمارة!$C$14,AB4=الإستمارة!$C$15,AB4=الإستمارة!$C$16,AB4=الإستمارة!$C$17,AB4=الإستمارة!$C$18,AB4=الإستمارة!$C$19),VLOOKUP(AB4,الإستمارة!$C$12:$H$19,6,0),VLOOKUP(AB4,الإستمارة!$L$12:$P$19,6,0)),"")</f>
        <v/>
      </c>
      <c r="AC5" s="82" t="e">
        <f>VLOOKUP(AB4,'اختيار المقررات'!$AV$5:$AY$54,4,0)</f>
        <v>#N/A</v>
      </c>
      <c r="AD5" s="81" t="str">
        <f>IFERROR(IF(OR(AD4=الإستمارة!$C$12,AD4=الإستمارة!$C$13,AD4=الإستمارة!$C$14,AD4=الإستمارة!$C$15,AD4=الإستمارة!$C$16,AD4=الإستمارة!$C$17,AD4=الإستمارة!$C$18,AD4=الإستمارة!$C$19),VLOOKUP(AD4,الإستمارة!$C$12:$H$19,6,0),VLOOKUP(AD4,الإستمارة!$L$12:$P$19,6,0)),"")</f>
        <v/>
      </c>
      <c r="AE5" s="82" t="e">
        <f>VLOOKUP(AD4,'اختيار المقررات'!$AV$5:$AY$54,4,0)</f>
        <v>#N/A</v>
      </c>
      <c r="AF5" s="81" t="str">
        <f>IFERROR(IF(OR(AF4=الإستمارة!$C$12,AF4=الإستمارة!$C$13,AF4=الإستمارة!$C$14,AF4=الإستمارة!$C$15,AF4=الإستمارة!$C$16,AF4=الإستمارة!$C$17,AF4=الإستمارة!$C$18,AF4=الإستمارة!$C$19),VLOOKUP(AF4,الإستمارة!$C$12:$H$19,6,0),VLOOKUP(AF4,الإستمارة!$L$12:$P$19,6,0)),"")</f>
        <v/>
      </c>
      <c r="AG5" s="82" t="e">
        <f>VLOOKUP(AF4,'اختيار المقررات'!$AV$5:$AY$54,4,0)</f>
        <v>#N/A</v>
      </c>
      <c r="AH5" s="81" t="str">
        <f>IFERROR(IF(OR(AH4=الإستمارة!$C$12,AH4=الإستمارة!$C$13,AH4=الإستمارة!$C$14,AH4=الإستمارة!$C$15,AH4=الإستمارة!$C$16,AH4=الإستمارة!$C$17,AH4=الإستمارة!$C$18,AH4=الإستمارة!$C$19),VLOOKUP(AH4,الإستمارة!$C$12:$H$19,6,0),VLOOKUP(AH4,الإستمارة!$L$12:$P$19,6,0)),"")</f>
        <v/>
      </c>
      <c r="AI5" s="82" t="e">
        <f>VLOOKUP(AH4,'اختيار المقررات'!$AV$5:$AY$54,4,0)</f>
        <v>#N/A</v>
      </c>
      <c r="AJ5" s="81" t="str">
        <f>IFERROR(IF(OR(AJ4=الإستمارة!$C$12,AJ4=الإستمارة!$C$13,AJ4=الإستمارة!$C$14,AJ4=الإستمارة!$C$15,AJ4=الإستمارة!$C$16,AJ4=الإستمارة!$C$17,AJ4=الإستمارة!$C$18,AJ4=الإستمارة!$C$19),VLOOKUP(AJ4,الإستمارة!$C$12:$H$19,6,0),VLOOKUP(AJ4,الإستمارة!$L$12:$P$19,6,0)),"")</f>
        <v/>
      </c>
      <c r="AK5" s="82" t="e">
        <f>VLOOKUP(AJ4,'اختيار المقررات'!$AV$5:$AY$54,4,0)</f>
        <v>#N/A</v>
      </c>
      <c r="AL5" s="81" t="str">
        <f>IFERROR(IF(OR(AL4=الإستمارة!$C$12,AL4=الإستمارة!$C$13,AL4=الإستمارة!$C$14,AL4=الإستمارة!$C$15,AL4=الإستمارة!$C$16,AL4=الإستمارة!$C$17,AL4=الإستمارة!$C$18,AL4=الإستمارة!$C$19),VLOOKUP(AL4,الإستمارة!$C$12:$H$19,6,0),VLOOKUP(AL4,الإستمارة!$L$12:$P$19,6,0)),"")</f>
        <v/>
      </c>
      <c r="AM5" s="82" t="e">
        <f>VLOOKUP(AL4,'اختيار المقررات'!$AV$5:$AY$54,4,0)</f>
        <v>#N/A</v>
      </c>
      <c r="AN5" s="81" t="str">
        <f>IFERROR(IF(OR(AN4=الإستمارة!$C$12,AN4=الإستمارة!$C$13,AN4=الإستمارة!$C$14,AN4=الإستمارة!$C$15,AN4=الإستمارة!$C$16,AN4=الإستمارة!$C$17,AN4=الإستمارة!$C$18,AN4=الإستمارة!$C$19),VLOOKUP(AN4,الإستمارة!$C$12:$H$19,6,0),VLOOKUP(AN4,الإستمارة!$L$12:$P$19,6,0)),"")</f>
        <v/>
      </c>
      <c r="AO5" s="82" t="e">
        <f>VLOOKUP(AN4,'اختيار المقررات'!$AV$5:$AY$54,4,0)</f>
        <v>#N/A</v>
      </c>
      <c r="AP5" s="81" t="str">
        <f>IFERROR(IF(OR(AP4=الإستمارة!$C$12,AP4=الإستمارة!$C$13,AP4=الإستمارة!$C$14,AP4=الإستمارة!$C$15,AP4=الإستمارة!$C$16,AP4=الإستمارة!$C$17,AP4=الإستمارة!$C$18,AP4=الإستمارة!$C$19),VLOOKUP(AP4,الإستمارة!$C$12:$H$19,6,0),VLOOKUP(AP4,الإستمارة!$L$12:$P$19,6,0)),"")</f>
        <v/>
      </c>
      <c r="AQ5" s="82" t="e">
        <f>VLOOKUP(AP4,'اختيار المقررات'!$AV$5:$AY$54,4,0)</f>
        <v>#N/A</v>
      </c>
      <c r="AR5" s="81" t="str">
        <f>IFERROR(IF(OR(AR4=الإستمارة!$C$12,AR4=الإستمارة!$C$13,AR4=الإستمارة!$C$14,AR4=الإستمارة!$C$15,AR4=الإستمارة!$C$16,AR4=الإستمارة!$C$17,AR4=الإستمارة!$C$18,AR4=الإستمارة!$C$19),VLOOKUP(AR4,الإستمارة!$C$12:$H$19,6,0),VLOOKUP(AR4,الإستمارة!$L$12:$P$19,6,0)),"")</f>
        <v/>
      </c>
      <c r="AS5" s="82" t="str">
        <f>IFERROR(VLOOKUP(AR4,'اختيار المقررات'!$AV$5:$AY$54,4,0),"")</f>
        <v/>
      </c>
      <c r="AT5" s="81" t="str">
        <f>IFERROR(IF(OR(AT4=الإستمارة!$C$12,AT4=الإستمارة!$C$13,AT4=الإستمارة!$C$14,AT4=الإستمارة!$C$15,AT4=الإستمارة!$C$16,AT4=الإستمارة!$C$17,AT4=الإستمارة!$C$18,AT4=الإستمارة!$C$19),VLOOKUP(AT4,الإستمارة!$C$12:$H$19,6,0),VLOOKUP(AT4,الإستمارة!$L$12:$P$19,6,0)),"")</f>
        <v/>
      </c>
      <c r="AU5" s="82" t="str">
        <f>IFERROR(VLOOKUP(AT4,'اختيار المقررات'!$AV$5:$AY$54,4,0),"")</f>
        <v/>
      </c>
      <c r="AV5" s="81" t="str">
        <f>IFERROR(IF(OR(AV4=الإستمارة!$C$12,AV4=الإستمارة!$C$13,AV4=الإستمارة!$C$14,AV4=الإستمارة!$C$15,AV4=الإستمارة!$C$16,AV4=الإستمارة!$C$17,AV4=الإستمارة!$C$18,AV4=الإستمارة!$C$19),VLOOKUP(AV4,الإستمارة!$C$12:$H$19,6,0),VLOOKUP(AV4,الإستمارة!$L$12:$P$19,6,0)),"")</f>
        <v/>
      </c>
      <c r="AW5" s="82" t="str">
        <f>IFERROR(VLOOKUP(AV4,'اختيار المقررات'!$AV$5:$AY$54,4,0),"")</f>
        <v/>
      </c>
      <c r="AX5" s="81" t="str">
        <f>IFERROR(IF(OR(AX4=الإستمارة!$C$12,AX4=الإستمارة!$C$13,AX4=الإستمارة!$C$14,AX4=الإستمارة!$C$15,AX4=الإستمارة!$C$16,AX4=الإستمارة!$C$17,AX4=الإستمارة!$C$18,AX4=الإستمارة!$C$19),VLOOKUP(AX4,الإستمارة!$C$12:$H$19,6,0),VLOOKUP(AX4,الإستمارة!$L$12:$P$19,6,0)),"")</f>
        <v/>
      </c>
      <c r="AY5" s="82" t="str">
        <f>IFERROR(VLOOKUP(AX4,'اختيار المقررات'!$AV$5:$AY$54,4,0),"")</f>
        <v/>
      </c>
      <c r="AZ5" s="81" t="str">
        <f>IFERROR(IF(OR(AZ4=الإستمارة!$C$12,AZ4=الإستمارة!$C$13,AZ4=الإستمارة!$C$14,AZ4=الإستمارة!$C$15,AZ4=الإستمارة!$C$16,AZ4=الإستمارة!$C$17,AZ4=الإستمارة!$C$18,AZ4=الإستمارة!$C$19),VLOOKUP(AZ4,الإستمارة!$C$12:$H$19,6,0),VLOOKUP(AZ4,الإستمارة!$L$12:$P$19,6,0)),"")</f>
        <v/>
      </c>
      <c r="BA5" s="82" t="str">
        <f>IFERROR(VLOOKUP(AZ4,'اختيار المقررات'!$AV$5:$AY$54,4,0),"")</f>
        <v/>
      </c>
      <c r="BB5" s="81" t="str">
        <f>IFERROR(IF(OR(BB4=الإستمارة!$C$12,BB4=الإستمارة!$C$13,BB4=الإستمارة!$C$14,BB4=الإستمارة!$C$15,BB4=الإستمارة!$C$16,BB4=الإستمارة!$C$17,BB4=الإستمارة!$C$18,BB4=الإستمارة!$C$19),VLOOKUP(BB4,الإستمارة!$C$12:$H$19,6,0),VLOOKUP(BB4,الإستمارة!$L$12:$P$19,6,0)),"")</f>
        <v/>
      </c>
      <c r="BC5" s="82" t="str">
        <f>IFERROR(VLOOKUP(BB4,'اختيار المقررات'!$AV$5:$AY$54,4,0),"")</f>
        <v/>
      </c>
      <c r="BD5" s="81" t="str">
        <f>IFERROR(IF(OR(BD4=الإستمارة!$C$12,BD4=الإستمارة!$C$13,BD4=الإستمارة!$C$14,BD4=الإستمارة!$C$15,BD4=الإستمارة!$C$16,BD4=الإستمارة!$C$17,BD4=الإستمارة!$C$18,BD4=الإستمارة!$C$19),VLOOKUP(BD4,الإستمارة!$C$12:$H$19,6,0),VLOOKUP(BD4,الإستمارة!$L$12:$P$19,6,0)),"")</f>
        <v/>
      </c>
      <c r="BE5" s="82" t="e">
        <f>VLOOKUP(BD4,'اختيار المقررات'!$AV$5:$AY$54,4,0)</f>
        <v>#N/A</v>
      </c>
      <c r="BF5" s="81" t="str">
        <f>IFERROR(IF(OR(BF4=الإستمارة!$C$12,BF4=الإستمارة!$C$13,BF4=الإستمارة!$C$14,BF4=الإستمارة!$C$15,BF4=الإستمارة!$C$16,BF4=الإستمارة!$C$17,BF4=الإستمارة!$C$18,BF4=الإستمارة!$C$19),VLOOKUP(BF4,الإستمارة!$C$12:$H$19,6,0),VLOOKUP(BF4,الإستمارة!$L$12:$P$19,6,0)),"")</f>
        <v/>
      </c>
      <c r="BG5" s="82" t="e">
        <f>VLOOKUP(BF4,'اختيار المقررات'!$AV$5:$AY$54,4,0)</f>
        <v>#N/A</v>
      </c>
      <c r="BH5" s="81" t="str">
        <f>IFERROR(IF(OR(BH4=الإستمارة!$C$12,BH4=الإستمارة!$C$13,BH4=الإستمارة!$C$14,BH4=الإستمارة!$C$15,BH4=الإستمارة!$C$16,BH4=الإستمارة!$C$17,BH4=الإستمارة!$C$18,BH4=الإستمارة!$C$19),VLOOKUP(BH4,الإستمارة!$C$12:$H$19,6,0),VLOOKUP(BH4,الإستمارة!$L$12:$P$19,6,0)),"")</f>
        <v/>
      </c>
      <c r="BI5" s="82" t="e">
        <f>VLOOKUP(BH4,'اختيار المقررات'!$AV$5:$AY$54,4,0)</f>
        <v>#N/A</v>
      </c>
      <c r="BJ5" s="81" t="str">
        <f>IFERROR(IF(OR(BJ4=الإستمارة!$C$12,BJ4=الإستمارة!$C$13,BJ4=الإستمارة!$C$14,BJ4=الإستمارة!$C$15,BJ4=الإستمارة!$C$16,BJ4=الإستمارة!$C$17,BJ4=الإستمارة!$C$18,BJ4=الإستمارة!$C$19),VLOOKUP(BJ4,الإستمارة!$C$12:$H$19,6,0),VLOOKUP(BJ4,الإستمارة!$L$12:$P$19,6,0)),"")</f>
        <v/>
      </c>
      <c r="BK5" s="82" t="e">
        <f>VLOOKUP(BJ4,'اختيار المقررات'!$AV$5:$AY$54,4,0)</f>
        <v>#N/A</v>
      </c>
      <c r="BL5" s="81" t="str">
        <f>IFERROR(IF(OR(BL4=الإستمارة!$C$12,BL4=الإستمارة!$C$13,BL4=الإستمارة!$C$14,BL4=الإستمارة!$C$15,BL4=الإستمارة!$C$16,BL4=الإستمارة!$C$17,BL4=الإستمارة!$C$18,BL4=الإستمارة!$C$19),VLOOKUP(BL4,الإستمارة!$C$12:$H$19,6,0),VLOOKUP(BL4,الإستمارة!$L$12:$P$19,6,0)),"")</f>
        <v/>
      </c>
      <c r="BM5" s="82" t="e">
        <f>VLOOKUP(BL4,'اختيار المقررات'!$AV$5:$AY$54,4,0)</f>
        <v>#N/A</v>
      </c>
      <c r="BN5" s="81" t="str">
        <f>IFERROR(IF(OR(BN4=الإستمارة!$C$12,BN4=الإستمارة!$C$13,BN4=الإستمارة!$C$14,BN4=الإستمارة!$C$15,BN4=الإستمارة!$C$16,BN4=الإستمارة!$C$17,BN4=الإستمارة!$C$18,BN4=الإستمارة!$C$19),VLOOKUP(BN4,الإستمارة!$C$12:$H$19,6,0),VLOOKUP(BN4,الإستمارة!$L$12:$P$19,6,0)),"")</f>
        <v/>
      </c>
      <c r="BO5" s="82" t="e">
        <f>VLOOKUP(BN4,'اختيار المقررات'!$AV$5:$AY$54,4,0)</f>
        <v>#N/A</v>
      </c>
      <c r="BP5" s="81" t="str">
        <f>IFERROR(IF(OR(BP4=الإستمارة!$C$12,BP4=الإستمارة!$C$13,BP4=الإستمارة!$C$14,BP4=الإستمارة!$C$15,BP4=الإستمارة!$C$16,BP4=الإستمارة!$C$17,BP4=الإستمارة!$C$18,BP4=الإستمارة!$C$19),VLOOKUP(BP4,الإستمارة!$C$12:$H$19,6,0),VLOOKUP(BP4,الإستمارة!$L$12:$P$19,6,0)),"")</f>
        <v/>
      </c>
      <c r="BQ5" s="82" t="e">
        <f>VLOOKUP(BP4,'اختيار المقررات'!$AV$5:$AY$54,4,0)</f>
        <v>#N/A</v>
      </c>
      <c r="BR5" s="81" t="str">
        <f>IFERROR(IF(OR(BR4=الإستمارة!$C$12,BR4=الإستمارة!$C$13,BR4=الإستمارة!$C$14,BR4=الإستمارة!$C$15,BR4=الإستمارة!$C$16,BR4=الإستمارة!$C$17,BR4=الإستمارة!$C$18,BR4=الإستمارة!$C$19),VLOOKUP(BR4,الإستمارة!$C$12:$H$19,6,0),VLOOKUP(BR4,الإستمارة!$L$12:$P$19,6,0)),"")</f>
        <v/>
      </c>
      <c r="BS5" s="82" t="e">
        <f>VLOOKUP(BR4,'اختيار المقررات'!$AV$5:$AY$54,4,0)</f>
        <v>#N/A</v>
      </c>
      <c r="BT5" s="81" t="str">
        <f>IFERROR(IF(OR(BT4=الإستمارة!$C$12,BT4=الإستمارة!$C$13,BT4=الإستمارة!$C$14,BT4=الإستمارة!$C$15,BT4=الإستمارة!$C$16,BT4=الإستمارة!$C$17,BT4=الإستمارة!$C$18,BT4=الإستمارة!$C$19),VLOOKUP(BT4,الإستمارة!$C$12:$H$19,6,0),VLOOKUP(BT4,الإستمارة!$L$12:$P$19,6,0)),"")</f>
        <v/>
      </c>
      <c r="BU5" s="82" t="e">
        <f>VLOOKUP(BT4,'اختيار المقررات'!$AV$5:$AY$54,4,0)</f>
        <v>#N/A</v>
      </c>
      <c r="BV5" s="81" t="str">
        <f>IFERROR(IF(OR(BV4=الإستمارة!$C$12,BV4=الإستمارة!$C$13,BV4=الإستمارة!$C$14,BV4=الإستمارة!$C$15,BV4=الإستمارة!$C$16,BV4=الإستمارة!$C$17,BV4=الإستمارة!$C$18,BV4=الإستمارة!$C$19),VLOOKUP(BV4,الإستمارة!$C$12:$H$19,6,0),VLOOKUP(BV4,الإستمارة!$L$12:$P$19,6,0)),"")</f>
        <v/>
      </c>
      <c r="BW5" s="82" t="e">
        <f>VLOOKUP(BV4,'اختيار المقررات'!$AV$5:$AY$54,4,0)</f>
        <v>#N/A</v>
      </c>
      <c r="BX5" s="81" t="str">
        <f>IFERROR(IF(OR(BX4=الإستمارة!$C$12,BX4=الإستمارة!$C$13,BX4=الإستمارة!$C$14,BX4=الإستمارة!$C$15,BX4=الإستمارة!$C$16,BX4=الإستمارة!$C$17,BX4=الإستمارة!$C$18,BX4=الإستمارة!$C$19),VLOOKUP(BX4,الإستمارة!$C$12:$H$19,6,0),VLOOKUP(BX4,الإستمارة!$L$12:$P$19,6,0)),"")</f>
        <v/>
      </c>
      <c r="BY5" s="82" t="e">
        <f>VLOOKUP(BX4,'اختيار المقررات'!$AV$5:$AY$54,4,0)</f>
        <v>#N/A</v>
      </c>
      <c r="BZ5" s="81" t="str">
        <f>IFERROR(IF(OR(BZ4=الإستمارة!$C$12,BZ4=الإستمارة!$C$13,BZ4=الإستمارة!$C$14,BZ4=الإستمارة!$C$15,BZ4=الإستمارة!$C$16,BZ4=الإستمارة!$C$17,BZ4=الإستمارة!$C$18,BZ4=الإستمارة!$C$19),VLOOKUP(BZ4,الإستمارة!$C$12:$H$19,6,0),VLOOKUP(BZ4,الإستمارة!$L$12:$P$19,6,0)),"")</f>
        <v/>
      </c>
      <c r="CA5" s="82" t="e">
        <f>VLOOKUP(BZ4,'اختيار المقررات'!$AV$5:$AY$54,4,0)</f>
        <v>#N/A</v>
      </c>
      <c r="CB5" s="81" t="str">
        <f>IFERROR(IF(OR(CB4=الإستمارة!$C$12,CB4=الإستمارة!$C$13,CB4=الإستمارة!$C$14,CB4=الإستمارة!$C$15,CB4=الإستمارة!$C$16,CB4=الإستمارة!$C$17,CB4=الإستمارة!$C$18,CB4=الإستمارة!$C$19),VLOOKUP(CB4,الإستمارة!$C$12:$H$19,6,0),VLOOKUP(CB4,الإستمارة!$L$12:$P$19,6,0)),"")</f>
        <v/>
      </c>
      <c r="CC5" s="82" t="str">
        <f>IFERROR(VLOOKUP(CB4,'اختيار المقررات'!$AV$5:$AY$54,4,0),"")</f>
        <v/>
      </c>
      <c r="CD5" s="81" t="str">
        <f>IFERROR(IF(OR(CD4=الإستمارة!$C$12,CD4=الإستمارة!$C$13,CD4=الإستمارة!$C$14,CD4=الإستمارة!$C$15,CD4=الإستمارة!$C$16,CD4=الإستمارة!$C$17,CD4=الإستمارة!$C$18,CD4=الإستمارة!$C$19),VLOOKUP(CD4,الإستمارة!$C$12:$H$19,6,0),VLOOKUP(CD4,الإستمارة!$L$12:$P$19,6,0)),"")</f>
        <v/>
      </c>
      <c r="CE5" s="82" t="str">
        <f>IFERROR(VLOOKUP(CD4,'اختيار المقررات'!$AV$5:$AY$54,4,0),"")</f>
        <v/>
      </c>
      <c r="CF5" s="81" t="str">
        <f>IFERROR(IF(OR(CF4=الإستمارة!$C$12,CF4=الإستمارة!$C$13,CF4=الإستمارة!$C$14,CF4=الإستمارة!$C$15,CF4=الإستمارة!$C$16,CF4=الإستمارة!$C$17,CF4=الإستمارة!$C$18,CF4=الإستمارة!$C$19),VLOOKUP(CF4,الإستمارة!$C$12:$H$19,6,0),VLOOKUP(CF4,الإستمارة!$L$12:$P$19,6,0)),"")</f>
        <v/>
      </c>
      <c r="CG5" s="82" t="str">
        <f>IFERROR(VLOOKUP(CF4,'اختيار المقررات'!$AV$5:$AY$54,4,0),"")</f>
        <v/>
      </c>
      <c r="CH5" s="81" t="str">
        <f>IFERROR(IF(OR(CH4=الإستمارة!$C$12,CH4=الإستمارة!$C$13,CH4=الإستمارة!$C$14,CH4=الإستمارة!$C$15,CH4=الإستمارة!$C$16,CH4=الإستمارة!$C$17,CH4=الإستمارة!$C$18,CH4=الإستمارة!$C$19),VLOOKUP(CH4,الإستمارة!$C$12:$H$19,6,0),VLOOKUP(CH4,الإستمارة!$L$12:$P$19,6,0)),"")</f>
        <v/>
      </c>
      <c r="CI5" s="82" t="str">
        <f>IFERROR(VLOOKUP(CH4,'اختيار المقررات'!$AV$5:$AY$54,4,0),"")</f>
        <v/>
      </c>
      <c r="CJ5" s="81" t="str">
        <f>IFERROR(IF(OR(CJ4=الإستمارة!$C$12,CJ4=الإستمارة!$C$13,CJ4=الإستمارة!$C$14,CJ4=الإستمارة!$C$15,CJ4=الإستمارة!$C$16,CJ4=الإستمارة!$C$17,CJ4=الإستمارة!$C$18,CJ4=الإستمارة!$C$19),VLOOKUP(CJ4,الإستمارة!$C$12:$H$19,6,0),VLOOKUP(CJ4,الإستمارة!$L$12:$P$19,6,0)),"")</f>
        <v/>
      </c>
      <c r="CK5" s="82" t="str">
        <f>IFERROR(VLOOKUP(CJ4,'اختيار المقررات'!$AV$5:$AY$54,4,0),"")</f>
        <v/>
      </c>
      <c r="CL5" s="81" t="str">
        <f>IFERROR(IF(OR(CL4=الإستمارة!$C$12,CL4=الإستمارة!$C$13,CL4=الإستمارة!$C$14,CL4=الإستمارة!$C$15,CL4=الإستمارة!$C$16,CL4=الإستمارة!$C$17,CL4=الإستمارة!$C$18,CL4=الإستمارة!$C$19),VLOOKUP(CL4,الإستمارة!$C$12:$H$19,6,0),VLOOKUP(CL4,الإستمارة!$L$12:$P$19,6,0)),"")</f>
        <v/>
      </c>
      <c r="CM5" s="82" t="str">
        <f>IFERROR(VLOOKUP(CL4,'اختيار المقررات'!$AV$5:$AY$54,4,0),"")</f>
        <v/>
      </c>
      <c r="CN5" s="81" t="str">
        <f>IFERROR(IF(OR(CN4=الإستمارة!$C$12,CN4=الإستمارة!$C$13,CN4=الإستمارة!$C$14,CN4=الإستمارة!$C$15,CN4=الإستمارة!$C$16,CN4=الإستمارة!$C$17,CN4=الإستمارة!$C$18,CN4=الإستمارة!$C$19),VLOOKUP(CN4,الإستمارة!$C$12:$H$19,6,0),VLOOKUP(CN4,الإستمارة!$L$12:$P$19,6,0)),"")</f>
        <v/>
      </c>
      <c r="CO5" s="82" t="e">
        <f>VLOOKUP(CN4,'اختيار المقررات'!$AV$5:$AY$54,4,0)</f>
        <v>#N/A</v>
      </c>
      <c r="CP5" s="81" t="str">
        <f>IFERROR(IF(OR(CP4=الإستمارة!$C$12,CP4=الإستمارة!$C$13,CP4=الإستمارة!$C$14,CP4=الإستمارة!$C$15,CP4=الإستمارة!$C$16,CP4=الإستمارة!$C$17,CP4=الإستمارة!$C$18,CP4=الإستمارة!$C$19),VLOOKUP(CP4,الإستمارة!$C$12:$H$19,6,0),VLOOKUP(CP4,الإستمارة!$L$12:$P$19,6,0)),"")</f>
        <v/>
      </c>
      <c r="CQ5" s="82" t="e">
        <f>VLOOKUP(CP4,'اختيار المقررات'!$AV$5:$AY$54,4,0)</f>
        <v>#N/A</v>
      </c>
      <c r="CR5" s="81" t="str">
        <f>IFERROR(IF(OR(CR4=الإستمارة!$C$12,CR4=الإستمارة!$C$13,CR4=الإستمارة!$C$14,CR4=الإستمارة!$C$15,CR4=الإستمارة!$C$16,CR4=الإستمارة!$C$17,CR4=الإستمارة!$C$18,CR4=الإستمارة!$C$19),VLOOKUP(CR4,الإستمارة!$C$12:$H$19,6,0),VLOOKUP(CR4,الإستمارة!$L$12:$P$19,6,0)),"")</f>
        <v/>
      </c>
      <c r="CS5" s="82" t="e">
        <f>VLOOKUP(CR4,'اختيار المقررات'!$AV$5:$AY$54,4,0)</f>
        <v>#N/A</v>
      </c>
      <c r="CT5" s="81" t="str">
        <f>IFERROR(IF(OR(CT4=الإستمارة!$C$12,CT4=الإستمارة!$C$13,CT4=الإستمارة!$C$14,CT4=الإستمارة!$C$15,CT4=الإستمارة!$C$16,CT4=الإستمارة!$C$17,CT4=الإستمارة!$C$18,CT4=الإستمارة!$C$19),VLOOKUP(CT4,الإستمارة!$C$12:$H$19,6,0),VLOOKUP(CT4,الإستمارة!$L$12:$P$19,6,0)),"")</f>
        <v/>
      </c>
      <c r="CU5" s="82" t="e">
        <f>VLOOKUP(CT4,'اختيار المقررات'!$AV$5:$AY$54,4,0)</f>
        <v>#N/A</v>
      </c>
      <c r="CV5" s="81" t="str">
        <f>IFERROR(IF(OR(CV4=الإستمارة!$C$12,CV4=الإستمارة!$C$13,CV4=الإستمارة!$C$14,CV4=الإستمارة!$C$15,CV4=الإستمارة!$C$16,CV4=الإستمارة!$C$17,CV4=الإستمارة!$C$18,CV4=الإستمارة!$C$19),VLOOKUP(CV4,الإستمارة!$C$12:$H$19,6,0),VLOOKUP(CV4,الإستمارة!$L$12:$P$19,6,0)),"")</f>
        <v/>
      </c>
      <c r="CW5" s="82" t="e">
        <f>VLOOKUP(CV4,'اختيار المقررات'!$AV$5:$AY$54,4,0)</f>
        <v>#N/A</v>
      </c>
      <c r="CX5" s="81" t="str">
        <f>IFERROR(IF(OR(CX4=الإستمارة!$C$12,CX4=الإستمارة!$C$13,CX4=الإستمارة!$C$14,CX4=الإستمارة!$C$15,CX4=الإستمارة!$C$16,CX4=الإستمارة!$C$17,CX4=الإستمارة!$C$18,CX4=الإستمارة!$C$19),VLOOKUP(CX4,الإستمارة!$C$12:$H$19,6,0),VLOOKUP(CX4,الإستمارة!$L$12:$P$19,6,0)),"")</f>
        <v/>
      </c>
      <c r="CY5" s="82" t="e">
        <f>VLOOKUP(CX4,'اختيار المقررات'!$AV$5:$AY$54,4,0)</f>
        <v>#N/A</v>
      </c>
      <c r="CZ5" s="81" t="str">
        <f>IFERROR(IF(OR(CZ4=الإستمارة!$C$12,CZ4=الإستمارة!$C$13,CZ4=الإستمارة!$C$14,CZ4=الإستمارة!$C$15,CZ4=الإستمارة!$C$16,CZ4=الإستمارة!$C$17,CZ4=الإستمارة!$C$18,CZ4=الإستمارة!$C$19),VLOOKUP(CZ4,الإستمارة!$C$12:$H$19,6,0),VLOOKUP(CZ4,الإستمارة!$L$12:$P$19,6,0)),"")</f>
        <v/>
      </c>
      <c r="DA5" s="82" t="e">
        <f>VLOOKUP(CZ4,'اختيار المقررات'!$AV$5:$AY$54,4,0)</f>
        <v>#N/A</v>
      </c>
      <c r="DB5" s="81" t="str">
        <f>IFERROR(IF(OR(DB4=الإستمارة!$C$12,DB4=الإستمارة!$C$13,DB4=الإستمارة!$C$14,DB4=الإستمارة!$C$15,DB4=الإستمارة!$C$16,DB4=الإستمارة!$C$17,DB4=الإستمارة!$C$18,DB4=الإستمارة!$C$19),VLOOKUP(DB4,الإستمارة!$C$12:$H$19,6,0),VLOOKUP(DB4,الإستمارة!$L$12:$P$19,6,0)),"")</f>
        <v/>
      </c>
      <c r="DC5" s="82" t="e">
        <f>VLOOKUP(DB4,'اختيار المقررات'!$AV$5:$AY$54,4,0)</f>
        <v>#N/A</v>
      </c>
      <c r="DD5" s="81" t="str">
        <f>IFERROR(IF(OR(DD4=الإستمارة!$C$12,DD4=الإستمارة!$C$13,DD4=الإستمارة!$C$14,DD4=الإستمارة!$C$15,DD4=الإستمارة!$C$16,DD4=الإستمارة!$C$17,DD4=الإستمارة!$C$18,DD4=الإستمارة!$C$19),VLOOKUP(DD4,الإستمارة!$C$12:$H$19,6,0),VLOOKUP(DD4,الإستمارة!$L$12:$P$19,6,0)),"")</f>
        <v/>
      </c>
      <c r="DE5" s="82" t="e">
        <f>VLOOKUP(DD4,'اختيار المقررات'!$AV$5:$AY$54,4,0)</f>
        <v>#N/A</v>
      </c>
      <c r="DF5" s="81" t="str">
        <f>IFERROR(IF(OR(DF4=الإستمارة!$C$12,DF4=الإستمارة!$C$13,DF4=الإستمارة!$C$14,DF4=الإستمارة!$C$15,DF4=الإستمارة!$C$16,DF4=الإستمارة!$C$17,DF4=الإستمارة!$C$18,DF4=الإستمارة!$C$19),VLOOKUP(DF4,الإستمارة!$C$12:$H$19,6,0),VLOOKUP(DF4,الإستمارة!$L$12:$P$19,6,0)),"")</f>
        <v/>
      </c>
      <c r="DG5" s="82" t="e">
        <f>VLOOKUP(DF4,'اختيار المقررات'!$AV$5:$AY$54,4,0)</f>
        <v>#N/A</v>
      </c>
      <c r="DH5" s="81" t="str">
        <f>IFERROR(IF(OR(DH4=الإستمارة!$C$12,DH4=الإستمارة!$C$13,DH4=الإستمارة!$C$14,DH4=الإستمارة!$C$15,DH4=الإستمارة!$C$16,DH4=الإستمارة!$C$17,DH4=الإستمارة!$C$18,DH4=الإستمارة!$C$19),VLOOKUP(DH4,الإستمارة!$C$12:$H$19,6,0),VLOOKUP(DH4,الإستمارة!$L$12:$P$19,6,0)),"")</f>
        <v/>
      </c>
      <c r="DI5" s="82" t="e">
        <f>VLOOKUP(DH4,'اختيار المقررات'!$AV$5:$AY$54,4,0)</f>
        <v>#N/A</v>
      </c>
      <c r="DJ5" s="81" t="str">
        <f>IFERROR(IF(OR(DJ4=الإستمارة!$C$12,DJ4=الإستمارة!$C$13,DJ4=الإستمارة!$C$14,DJ4=الإستمارة!$C$15,DJ4=الإستمارة!$C$16,DJ4=الإستمارة!$C$17,DJ4=الإستمارة!$C$18,DJ4=الإستمارة!$C$19),VLOOKUP(DJ4,الإستمارة!$C$12:$H$19,6,0),VLOOKUP(DJ4,الإستمارة!$L$12:$P$19,6,0)),"")</f>
        <v/>
      </c>
      <c r="DK5" s="82" t="str">
        <f>IFERROR(VLOOKUP(DJ4,'اختيار المقررات'!$AV$5:$AY$54,4,0),"")</f>
        <v/>
      </c>
      <c r="DL5" s="81" t="str">
        <f>IFERROR(IF(OR(DL4=الإستمارة!$C$12,DL4=الإستمارة!$C$13,DL4=الإستمارة!$C$14,DL4=الإستمارة!$C$15,DL4=الإستمارة!$C$16,DL4=الإستمارة!$C$17,DL4=الإستمارة!$C$18,DL4=الإستمارة!$C$19),VLOOKUP(DL4,الإستمارة!$C$12:$H$19,6,0),VLOOKUP(DL4,الإستمارة!$L$12:$P$19,6,0)),"")</f>
        <v/>
      </c>
      <c r="DM5" s="82" t="str">
        <f>IFERROR(VLOOKUP(DL4,'اختيار المقررات'!$AV$5:$AY$54,4,0),"")</f>
        <v/>
      </c>
      <c r="DN5" s="81" t="str">
        <f>IFERROR(IF(OR(DN4=الإستمارة!$C$12,DN4=الإستمارة!$C$13,DN4=الإستمارة!$C$14,DN4=الإستمارة!$C$15,DN4=الإستمارة!$C$16,DN4=الإستمارة!$C$17,DN4=الإستمارة!$C$18,DN4=الإستمارة!$C$19),VLOOKUP(DN4,الإستمارة!$C$12:$H$19,6,0),VLOOKUP(DN4,الإستمارة!$L$12:$P$19,6,0)),"")</f>
        <v/>
      </c>
      <c r="DO5" s="82" t="str">
        <f>IFERROR(VLOOKUP(DN4,'اختيار المقررات'!$AV$5:$AY$54,4,0),"")</f>
        <v/>
      </c>
      <c r="DP5" s="81" t="str">
        <f>IFERROR(IF(OR(DP4=الإستمارة!$C$12,DP4=الإستمارة!$C$13,DP4=الإستمارة!$C$14,DP4=الإستمارة!$C$15,DP4=الإستمارة!$C$16,DP4=الإستمارة!$C$17,DP4=الإستمارة!$C$18,DP4=الإستمارة!$C$19),VLOOKUP(DP4,الإستمارة!$C$12:$H$19,6,0),VLOOKUP(DP4,الإستمارة!$L$12:$P$19,6,0)),"")</f>
        <v/>
      </c>
      <c r="DQ5" s="82" t="str">
        <f>IFERROR(VLOOKUP(DP4,'اختيار المقررات'!$AV$5:$AY$54,4,0),"")</f>
        <v/>
      </c>
      <c r="DR5" s="81" t="str">
        <f>IFERROR(IF(OR(DR4=الإستمارة!$C$12,DR4=الإستمارة!$C$13,DR4=الإستمارة!$C$14,DR4=الإستمارة!$C$15,DR4=الإستمارة!$C$16,DR4=الإستمارة!$C$17,DR4=الإستمارة!$C$18,DR4=الإستمارة!$C$19),VLOOKUP(DR4,الإستمارة!$C$12:$H$19,6,0),VLOOKUP(DR4,الإستمارة!$L$12:$P$19,6,0)),"")</f>
        <v/>
      </c>
      <c r="DS5" s="82" t="str">
        <f>IFERROR(VLOOKUP(DR4,'اختيار المقررات'!$AV$5:$AY$54,4,0),"")</f>
        <v/>
      </c>
      <c r="DT5" s="81" t="str">
        <f>IFERROR(IF(OR(DT4=الإستمارة!$C$12,DT4=الإستمارة!$C$13,DT4=الإستمارة!$C$14,DT4=الإستمارة!$C$15,DT4=الإستمارة!$C$16,DT4=الإستمارة!$C$17,DT4=الإستمارة!$C$18,DT4=الإستمارة!$C$19),VLOOKUP(DT4,الإستمارة!$C$12:$H$19,6,0),VLOOKUP(DT4,الإستمارة!$L$12:$P$19,6,0)),"")</f>
        <v/>
      </c>
      <c r="DU5" s="82" t="str">
        <f>IFERROR(VLOOKUP(DT4,'اختيار المقررات'!$AV$5:$AY$54,4,0),"")</f>
        <v/>
      </c>
      <c r="DV5" s="81" t="str">
        <f>IFERROR(IF(OR(DV4=الإستمارة!$C$12,DV4=الإستمارة!$C$13,DV4=الإستمارة!$C$14,DV4=الإستمارة!$C$15,DV4=الإستمارة!$C$16,DV4=الإستمارة!$C$17,DV4=الإستمارة!$C$18,DV4=الإستمارة!$C$19),VLOOKUP(DV4,الإستمارة!$C$12:$H$19,6,0),VLOOKUP(DV4,الإستمارة!$L$12:$P$19,6,0)),"")</f>
        <v/>
      </c>
      <c r="DW5" s="82" t="str">
        <f>IFERROR(VLOOKUP(DV4,'اختيار المقررات'!$AV$5:$AY$54,4,0),"")</f>
        <v/>
      </c>
      <c r="DX5" s="81" t="str">
        <f>IFERROR(IF(OR(DX4=الإستمارة!$C$12,DX4=الإستمارة!$C$13,DX4=الإستمارة!$C$14,DX4=الإستمارة!$C$15,DX4=الإستمارة!$C$16,DX4=الإستمارة!$C$17,DX4=الإستمارة!$C$18,DX4=الإستمارة!$C$19),VLOOKUP(DX4,الإستمارة!$C$12:$H$19,6,0),VLOOKUP(DX4,الإستمارة!$L$12:$P$19,6,0)),"")</f>
        <v/>
      </c>
      <c r="DY5" s="82" t="str">
        <f>IFERROR(VLOOKUP(DX4,'اختيار المقررات'!$AV$5:$AY$54,4,0),"")</f>
        <v/>
      </c>
      <c r="DZ5" s="81" t="str">
        <f>IFERROR(IF(OR(DZ4=الإستمارة!$C$12,DZ4=الإستمارة!$C$13,DZ4=الإستمارة!$C$14,DZ4=الإستمارة!$C$15,DZ4=الإستمارة!$C$16,DZ4=الإستمارة!$C$17,DZ4=الإستمارة!$C$18,DZ4=الإستمارة!$C$19),VLOOKUP(DZ4,الإستمارة!$C$12:$H$19,6,0),VLOOKUP(DZ4,الإستمارة!$L$12:$P$19,6,0)),"")</f>
        <v/>
      </c>
      <c r="EA5" s="82" t="e">
        <f>VLOOKUP(DZ4,'اختيار المقررات'!$AV$5:$AY$54,4,0)</f>
        <v>#N/A</v>
      </c>
      <c r="EB5" s="81" t="str">
        <f>IFERROR(IF(OR(EB4=الإستمارة!$C$12,EB4=الإستمارة!$C$13,EB4=الإستمارة!$C$14,EB4=الإستمارة!$C$15,EB4=الإستمارة!$C$16,EB4=الإستمارة!$C$17,EB4=الإستمارة!$C$18,EB4=الإستمارة!$C$19),VLOOKUP(EB4,الإستمارة!$C$12:$H$19,6,0),VLOOKUP(EB4,الإستمارة!$L$12:$P$19,6,0)),"")</f>
        <v/>
      </c>
      <c r="EC5" s="82" t="e">
        <f>VLOOKUP(EB4,'اختيار المقررات'!$AV$5:$AY$54,4,0)</f>
        <v>#N/A</v>
      </c>
      <c r="ED5" s="81" t="str">
        <f>IFERROR(IF(OR(ED4=الإستمارة!$C$12,ED4=الإستمارة!$C$13,ED4=الإستمارة!$C$14,ED4=الإستمارة!$C$15,ED4=الإستمارة!$C$16,ED4=الإستمارة!$C$17,ED4=الإستمارة!$C$18,ED4=الإستمارة!$C$19),VLOOKUP(ED4,الإستمارة!$C$12:$H$19,6,0),VLOOKUP(ED4,الإستمارة!$L$12:$P$19,6,0)),"")</f>
        <v/>
      </c>
      <c r="EE5" s="82" t="e">
        <f>VLOOKUP(ED4,'اختيار المقررات'!$AV$5:$AY$54,4,0)</f>
        <v>#N/A</v>
      </c>
      <c r="EF5" s="81" t="str">
        <f>IFERROR(IF(OR(EF4=الإستمارة!$C$12,EF4=الإستمارة!$C$13,EF4=الإستمارة!$C$14,EF4=الإستمارة!$C$15,EF4=الإستمارة!$C$16,EF4=الإستمارة!$C$17,EF4=الإستمارة!$C$18,EF4=الإستمارة!$C$19),VLOOKUP(EF4,الإستمارة!$C$12:$H$19,6,0),VLOOKUP(EF4,الإستمارة!$L$12:$P$19,6,0)),"")</f>
        <v/>
      </c>
      <c r="EG5" s="82" t="e">
        <f>VLOOKUP(EF4,'اختيار المقررات'!$AV$5:$AY$54,4,0)</f>
        <v>#N/A</v>
      </c>
      <c r="EH5" s="81" t="str">
        <f>IFERROR(IF(OR(EH4=الإستمارة!$C$12,EH4=الإستمارة!$C$13,EH4=الإستمارة!$C$14,EH4=الإستمارة!$C$15,EH4=الإستمارة!$C$16,EH4=الإستمارة!$C$17,EH4=الإستمارة!$C$18,EH4=الإستمارة!$C$19),VLOOKUP(EH4,الإستمارة!$C$12:$H$19,6,0),VLOOKUP(EH4,الإستمارة!$L$12:$P$19,6,0)),"")</f>
        <v/>
      </c>
      <c r="EI5" s="82" t="e">
        <f>VLOOKUP(EH4,'اختيار المقررات'!$AV$5:$AY$54,4,0)</f>
        <v>#N/A</v>
      </c>
      <c r="EJ5" s="81" t="str">
        <f>IFERROR(IF(OR(EJ4=الإستمارة!$C$12,EJ4=الإستمارة!$C$13,EJ4=الإستمارة!$C$14,EJ4=الإستمارة!$C$15,EJ4=الإستمارة!$C$16,EJ4=الإستمارة!$C$17,EJ4=الإستمارة!$C$18,EJ4=الإستمارة!$C$19),VLOOKUP(EJ4,الإستمارة!$C$12:$H$19,6,0),VLOOKUP(EJ4,الإستمارة!$L$12:$P$19,6,0)),"")</f>
        <v/>
      </c>
      <c r="EK5" s="82" t="e">
        <f>VLOOKUP(EJ4,'اختيار المقررات'!$AV$5:$AY$54,4,0)</f>
        <v>#N/A</v>
      </c>
      <c r="EL5" s="81" t="str">
        <f>IFERROR(IF(OR(EL4=الإستمارة!$C$12,EL4=الإستمارة!$C$13,EL4=الإستمارة!$C$14,EL4=الإستمارة!$C$15,EL4=الإستمارة!$C$16,EL4=الإستمارة!$C$17,EL4=الإستمارة!$C$18,EL4=الإستمارة!$C$19),VLOOKUP(EL4,الإستمارة!$C$12:$H$19,6,0),VLOOKUP(EL4,الإستمارة!$L$12:$P$19,6,0)),"")</f>
        <v/>
      </c>
      <c r="EM5" s="82" t="e">
        <f>VLOOKUP(EL4,'اختيار المقررات'!$AV$5:$AY$54,4,0)</f>
        <v>#N/A</v>
      </c>
      <c r="EN5" s="81" t="str">
        <f>IFERROR(IF(OR(EN4=الإستمارة!$C$12,EN4=الإستمارة!$C$13,EN4=الإستمارة!$C$14,EN4=الإستمارة!$C$15,EN4=الإستمارة!$C$16,EN4=الإستمارة!$C$17,EN4=الإستمارة!$C$18,EN4=الإستمارة!$C$19),VLOOKUP(EN4,الإستمارة!$C$12:$H$19,6,0),VLOOKUP(EN4,الإستمارة!$L$12:$P$19,6,0)),"")</f>
        <v/>
      </c>
      <c r="EO5" s="82" t="e">
        <f>VLOOKUP(EN4,'اختيار المقررات'!$AV$5:$AY$54,4,0)</f>
        <v>#N/A</v>
      </c>
      <c r="EP5" s="81" t="str">
        <f>IFERROR(IF(OR(EP4=الإستمارة!$C$12,EP4=الإستمارة!$C$13,EP4=الإستمارة!$C$14,EP4=الإستمارة!$C$15,EP4=الإستمارة!$C$16,EP4=الإستمارة!$C$17,EP4=الإستمارة!$C$18,EP4=الإستمارة!$C$19),VLOOKUP(EP4,الإستمارة!$C$12:$H$19,6,0),VLOOKUP(EP4,الإستمارة!$L$12:$P$19,6,0)),"")</f>
        <v/>
      </c>
      <c r="EQ5" s="82" t="e">
        <f>VLOOKUP(EP4,'اختيار المقررات'!$AV$5:$AY$54,4,0)</f>
        <v>#N/A</v>
      </c>
      <c r="ER5" s="81" t="str">
        <f>IFERROR(IF(OR(ER4=الإستمارة!$C$12,ER4=الإستمارة!$C$13,ER4=الإستمارة!$C$14,ER4=الإستمارة!$C$15,ER4=الإستمارة!$C$16,ER4=الإستمارة!$C$17,ER4=الإستمارة!$C$18,ER4=الإستمارة!$C$19),VLOOKUP(ER4,الإستمارة!$C$12:$H$19,6,0),VLOOKUP(ER4,الإستمارة!$L$12:$P$19,6,0)),"")</f>
        <v/>
      </c>
      <c r="ES5" s="82" t="e">
        <f>VLOOKUP(ER4,'اختيار المقررات'!$AV$5:$AY$54,4,0)</f>
        <v>#N/A</v>
      </c>
      <c r="ET5" s="81" t="str">
        <f>IFERROR(IF(OR(ET4=الإستمارة!$C$12,ET4=الإستمارة!$C$13,ET4=الإستمارة!$C$14,ET4=الإستمارة!$C$15,ET4=الإستمارة!$C$16,ET4=الإستمارة!$C$17,ET4=الإستمارة!$C$18,ET4=الإستمارة!$C$19),VLOOKUP(ET4,الإستمارة!$C$12:$H$19,6,0),VLOOKUP(ET4,الإستمارة!$L$12:$P$19,6,0)),"")</f>
        <v/>
      </c>
      <c r="EU5" s="82" t="e">
        <f>VLOOKUP(ET4,'اختيار المقررات'!$AV$5:$AY$54,4,0)</f>
        <v>#N/A</v>
      </c>
      <c r="EV5" s="81" t="str">
        <f>IFERROR(IF(OR(EV4=الإستمارة!$C$12,EV4=الإستمارة!$C$13,EV4=الإستمارة!$C$14,EV4=الإستمارة!$C$15,EV4=الإستمارة!$C$16,EV4=الإستمارة!$C$17,EV4=الإستمارة!$C$18,EV4=الإستمارة!$C$19),VLOOKUP(EV4,الإستمارة!$C$12:$H$19,6,0),VLOOKUP(EV4,الإستمارة!$L$12:$P$19,6,0)),"")</f>
        <v/>
      </c>
      <c r="EW5" s="82" t="str">
        <f>IFERROR(VLOOKUP(EV4,'اختيار المقررات'!$AV$5:$AY$54,4,0),"")</f>
        <v/>
      </c>
      <c r="EX5" s="81" t="str">
        <f>IFERROR(IF(OR(EX4=الإستمارة!$C$12,EX4=الإستمارة!$C$13,EX4=الإستمارة!$C$14,EX4=الإستمارة!$C$15,EX4=الإستمارة!$C$16,EX4=الإستمارة!$C$17,EX4=الإستمارة!$C$18,EX4=الإستمارة!$C$19),VLOOKUP(EX4,الإستمارة!$C$12:$H$19,6,0),VLOOKUP(EX4,الإستمارة!$L$12:$P$19,6,0)),"")</f>
        <v/>
      </c>
      <c r="EY5" s="82" t="str">
        <f>IFERROR(VLOOKUP(EX4,'اختيار المقررات'!$AV$5:$AY$54,4,0),"")</f>
        <v/>
      </c>
      <c r="EZ5" s="81" t="str">
        <f>IFERROR(IF(OR(EZ4=الإستمارة!$C$12,EZ4=الإستمارة!$C$13,EZ4=الإستمارة!$C$14,EZ4=الإستمارة!$C$15,EZ4=الإستمارة!$C$16,EZ4=الإستمارة!$C$17,EZ4=الإستمارة!$C$18,EZ4=الإستمارة!$C$19),VLOOKUP(EZ4,الإستمارة!$C$12:$H$19,6,0),VLOOKUP(EZ4,الإستمارة!$L$12:$P$19,6,0)),"")</f>
        <v/>
      </c>
      <c r="FA5" s="82" t="str">
        <f>IFERROR(VLOOKUP(EZ4,'اختيار المقررات'!$AV$5:$AY$54,4,0),"")</f>
        <v/>
      </c>
      <c r="FB5" s="81" t="str">
        <f>IFERROR(IF(OR(FB4=الإستمارة!$C$12,FB4=الإستمارة!$C$13,FB4=الإستمارة!$C$14,FB4=الإستمارة!$C$15,FB4=الإستمارة!$C$16,FB4=الإستمارة!$C$17,FB4=الإستمارة!$C$18,FB4=الإستمارة!$C$19),VLOOKUP(FB4,الإستمارة!$C$12:$H$19,6,0),VLOOKUP(FB4,الإستمارة!$L$12:$P$19,6,0)),"")</f>
        <v/>
      </c>
      <c r="FC5" s="82" t="str">
        <f>IFERROR(VLOOKUP(FB4,'اختيار المقررات'!$AV$5:$AY$54,4,0),"")</f>
        <v/>
      </c>
      <c r="FD5" s="81" t="str">
        <f>IFERROR(IF(OR(FD4=الإستمارة!$C$12,FD4=الإستمارة!$C$13,FD4=الإستمارة!$C$14,FD4=الإستمارة!$C$15,FD4=الإستمارة!$C$16,FD4=الإستمارة!$C$17,FD4=الإستمارة!$C$18,FD4=الإستمارة!$C$19),VLOOKUP(FD4,الإستمارة!$C$12:$H$19,6,0),VLOOKUP(FD4,الإستمارة!$L$12:$P$19,6,0)),"")</f>
        <v/>
      </c>
      <c r="FE5" s="82" t="str">
        <f>IFERROR(VLOOKUP(FD4,'اختيار المقررات'!$AV$5:$AY$54,4,0),"")</f>
        <v/>
      </c>
      <c r="FF5" s="81" t="str">
        <f>IFERROR(IF(OR(FF4=الإستمارة!$C$12,FF4=الإستمارة!$C$13,FF4=الإستمارة!$C$14,FF4=الإستمارة!$C$15,FF4=الإستمارة!$C$16,FF4=الإستمارة!$C$17,FF4=الإستمارة!$C$18,FF4=الإستمارة!$C$19),VLOOKUP(FF4,الإستمارة!$C$12:$H$19,6,0),VLOOKUP(FF4,الإستمارة!$L$12:$P$19,6,0)),"")</f>
        <v/>
      </c>
      <c r="FG5" s="82" t="str">
        <f>IFERROR(VLOOKUP(FF4,'اختيار المقررات'!$AV$5:$AY$54,4,0),"")</f>
        <v/>
      </c>
      <c r="FH5" s="225">
        <f>'اختيار المقررات'!Q5</f>
        <v>0</v>
      </c>
      <c r="FI5" s="226">
        <f>'اختيار المقررات'!W5</f>
        <v>0</v>
      </c>
      <c r="FJ5" s="227">
        <f>'اختيار المقررات'!AB5</f>
        <v>0</v>
      </c>
      <c r="FK5" s="228">
        <f>'اختيار المقررات'!F5</f>
        <v>0</v>
      </c>
      <c r="FL5" s="229">
        <f>'اختيار المقررات'!W27</f>
        <v>0</v>
      </c>
      <c r="FM5" s="230">
        <f>'اختيار المقررات'!AD27</f>
        <v>2000</v>
      </c>
      <c r="FN5" s="230" t="e">
        <f>'اختيار المقررات'!N27</f>
        <v>#N/A</v>
      </c>
      <c r="FO5" s="230" t="e">
        <f>'اختيار المقررات'!N28</f>
        <v>#N/A</v>
      </c>
      <c r="FP5" s="231" t="e">
        <f>'اختيار المقررات'!W28</f>
        <v>#N/A</v>
      </c>
      <c r="FQ5" s="230" t="str">
        <f>'اختيار المقررات'!N29</f>
        <v>لا</v>
      </c>
      <c r="FR5" s="230" t="e">
        <f>'اختيار المقررات'!W29</f>
        <v>#N/A</v>
      </c>
      <c r="FS5" s="230" t="e">
        <f>'اختيار المقررات'!AD29</f>
        <v>#N/A</v>
      </c>
      <c r="FT5" s="225">
        <f>'اختيار المقررات'!V30</f>
        <v>0</v>
      </c>
      <c r="FU5" s="232">
        <f>'اختيار المقررات'!AB30</f>
        <v>0</v>
      </c>
      <c r="FV5" s="230">
        <f>'اختيار المقررات'!AG30</f>
        <v>0</v>
      </c>
      <c r="FW5" s="233">
        <f>SUM(FT5:FV5)</f>
        <v>0</v>
      </c>
      <c r="FX5" s="225" t="str">
        <f>'اختيار المقررات'!AB2</f>
        <v xml:space="preserve"> </v>
      </c>
      <c r="FY5" s="226" t="str">
        <f>'اختيار المقررات'!AB2</f>
        <v xml:space="preserve"> </v>
      </c>
      <c r="FZ5" s="226">
        <f>'اختيار المقررات'!Q2</f>
        <v>0</v>
      </c>
      <c r="GA5" s="233">
        <f>'اختيار المقررات'!H2</f>
        <v>0</v>
      </c>
      <c r="GB5" s="233" t="str">
        <f>'اختيار المقررات'!C28</f>
        <v/>
      </c>
      <c r="GC5" s="233" t="str">
        <f>'اختيار المقررات'!C29</f>
        <v/>
      </c>
      <c r="GD5" s="233" t="str">
        <f>'اختيار المقررات'!C30</f>
        <v/>
      </c>
      <c r="GE5" s="233" t="str">
        <f>'اختيار المقررات'!C31</f>
        <v/>
      </c>
      <c r="GF5" s="233">
        <f>'اختيار المقررات'!C34</f>
        <v>0</v>
      </c>
    </row>
  </sheetData>
  <sheetProtection algorithmName="SHA-512" hashValue="dYnj2I3UJLueHt2e7ZSY/LoLT4jnd78ruZVKd6P5cd4vEx2sNH55bhJMTDFKt+ZS67zZKZHrtVN5kvARBCJn4w==" saltValue="8QqBIxbFfawlNIgdhbQVFA==" spinCount="100000" sheet="1" objects="1" scenarios="1"/>
  <mergeCells count="194">
    <mergeCell ref="FB3:FC3"/>
    <mergeCell ref="FD3:FE3"/>
    <mergeCell ref="FF3:FG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  <mergeCell ref="DR3:DS3"/>
    <mergeCell ref="DT3:DU3"/>
    <mergeCell ref="DV3:DW3"/>
    <mergeCell ref="DX3:DY3"/>
    <mergeCell ref="DZ3:EA3"/>
    <mergeCell ref="EB3:EC3"/>
    <mergeCell ref="ED3:EE3"/>
    <mergeCell ref="EF3:EG3"/>
    <mergeCell ref="EH3:EI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FH1:FJ2"/>
    <mergeCell ref="FK1:FK2"/>
    <mergeCell ref="FL1:FS2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FJ3:FJ4"/>
    <mergeCell ref="FO3:FO4"/>
    <mergeCell ref="FU3:FU4"/>
    <mergeCell ref="FW3:FW4"/>
    <mergeCell ref="FX3:FX4"/>
    <mergeCell ref="FY3:FY4"/>
    <mergeCell ref="FZ3:FZ4"/>
    <mergeCell ref="GA3:GA4"/>
    <mergeCell ref="FM3:FM4"/>
    <mergeCell ref="FQ3:FQ4"/>
    <mergeCell ref="FR3:FR4"/>
    <mergeCell ref="FS3:FS4"/>
    <mergeCell ref="FT3:FT4"/>
    <mergeCell ref="FV3:FV4"/>
    <mergeCell ref="FK3:FK4"/>
    <mergeCell ref="FN3:FN4"/>
    <mergeCell ref="FL3:FL4"/>
    <mergeCell ref="FP3:FP4"/>
    <mergeCell ref="T2:AG2"/>
    <mergeCell ref="DZ4:EA4"/>
    <mergeCell ref="EB4:EC4"/>
    <mergeCell ref="BX4:BY4"/>
    <mergeCell ref="BN4:BO4"/>
    <mergeCell ref="AR4:AS4"/>
    <mergeCell ref="BD4:BE4"/>
    <mergeCell ref="BF4:BG4"/>
    <mergeCell ref="AT4:AU4"/>
    <mergeCell ref="AV4:AW4"/>
    <mergeCell ref="AX4:AY4"/>
    <mergeCell ref="AZ4:BA4"/>
    <mergeCell ref="BB4:BC4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A1:A2"/>
    <mergeCell ref="BH4:BI4"/>
    <mergeCell ref="BJ4:BK4"/>
    <mergeCell ref="AP4:AQ4"/>
    <mergeCell ref="BP4:BQ4"/>
    <mergeCell ref="BT4:BU4"/>
    <mergeCell ref="BV4:BW4"/>
    <mergeCell ref="AR2:BK2"/>
    <mergeCell ref="BN2:BW2"/>
    <mergeCell ref="C1:J2"/>
    <mergeCell ref="B1:B2"/>
    <mergeCell ref="AR1:BY1"/>
    <mergeCell ref="P1:R2"/>
    <mergeCell ref="P3:P4"/>
    <mergeCell ref="S1:S4"/>
    <mergeCell ref="T4:U4"/>
    <mergeCell ref="V4:W4"/>
    <mergeCell ref="X4:Y4"/>
    <mergeCell ref="T1:AQ1"/>
    <mergeCell ref="Z4:AA4"/>
    <mergeCell ref="AB4:AC4"/>
    <mergeCell ref="AD4:AE4"/>
    <mergeCell ref="AF4:AG4"/>
    <mergeCell ref="K1:K4"/>
    <mergeCell ref="L1:L4"/>
    <mergeCell ref="AH4:AI4"/>
    <mergeCell ref="AJ4:AK4"/>
    <mergeCell ref="Q3:Q4"/>
    <mergeCell ref="M1:M4"/>
    <mergeCell ref="N1:N4"/>
    <mergeCell ref="O1:O4"/>
    <mergeCell ref="AL4:AM4"/>
    <mergeCell ref="DP4:DQ4"/>
    <mergeCell ref="BZ2:CI2"/>
    <mergeCell ref="CN2:CW2"/>
    <mergeCell ref="CB4:CC4"/>
    <mergeCell ref="CZ2:DI2"/>
    <mergeCell ref="CF3:CG3"/>
    <mergeCell ref="AN4:AO4"/>
    <mergeCell ref="BL4:BM4"/>
    <mergeCell ref="CH4:CI4"/>
    <mergeCell ref="CN4:CO4"/>
    <mergeCell ref="R3:R4"/>
    <mergeCell ref="BR4:BS4"/>
    <mergeCell ref="BZ4:CA4"/>
    <mergeCell ref="CZ1:FC1"/>
    <mergeCell ref="BZ1:CY1"/>
    <mergeCell ref="DL2:DU2"/>
    <mergeCell ref="DH4:DI4"/>
    <mergeCell ref="DT4:DU4"/>
    <mergeCell ref="CD4:CE4"/>
    <mergeCell ref="CL4:CM4"/>
    <mergeCell ref="DX4:DY4"/>
    <mergeCell ref="CF4:CG4"/>
    <mergeCell ref="DD4:DE4"/>
    <mergeCell ref="ED4:EE4"/>
    <mergeCell ref="CV4:CW4"/>
    <mergeCell ref="DB4:DC4"/>
    <mergeCell ref="CX4:CY4"/>
    <mergeCell ref="DF4:DG4"/>
    <mergeCell ref="CP4:CQ4"/>
    <mergeCell ref="CR4:CS4"/>
    <mergeCell ref="CZ4:DA4"/>
    <mergeCell ref="CT4:CU4"/>
    <mergeCell ref="CJ4:CK4"/>
    <mergeCell ref="FT1:FW2"/>
    <mergeCell ref="FD4:FE4"/>
    <mergeCell ref="FF4:FG4"/>
    <mergeCell ref="EJ4:EK4"/>
    <mergeCell ref="ET4:EU4"/>
    <mergeCell ref="GB3:GF4"/>
    <mergeCell ref="FB4:FC4"/>
    <mergeCell ref="EZ4:FA4"/>
    <mergeCell ref="DJ4:DK4"/>
    <mergeCell ref="EH4:EI4"/>
    <mergeCell ref="EX4:EY4"/>
    <mergeCell ref="EL4:EM4"/>
    <mergeCell ref="EN4:EO4"/>
    <mergeCell ref="EP4:EQ4"/>
    <mergeCell ref="ER4:ES4"/>
    <mergeCell ref="EV4:EW4"/>
    <mergeCell ref="DV4:DW4"/>
    <mergeCell ref="DL4:DM4"/>
    <mergeCell ref="DN4:DO4"/>
    <mergeCell ref="DR4:DS4"/>
    <mergeCell ref="EF4:EG4"/>
    <mergeCell ref="FX1:GA2"/>
    <mergeCell ref="FH3:FH4"/>
    <mergeCell ref="FI3:FI4"/>
  </mergeCells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AZ27"/>
  <sheetViews>
    <sheetView rightToLeft="1" workbookViewId="0">
      <pane xSplit="2" ySplit="1" topLeftCell="W22" activePane="bottomRight" state="frozen"/>
      <selection pane="topRight" activeCell="C1" sqref="C1"/>
      <selection pane="bottomLeft" activeCell="A2" sqref="A2"/>
      <selection pane="bottomRight" activeCell="A27" sqref="A27"/>
    </sheetView>
  </sheetViews>
  <sheetFormatPr defaultColWidth="9" defaultRowHeight="14.4" x14ac:dyDescent="0.3"/>
  <cols>
    <col min="1" max="1" width="12.44140625" style="267" customWidth="1"/>
    <col min="2" max="16384" width="9" style="267"/>
  </cols>
  <sheetData>
    <row r="1" spans="1:52" x14ac:dyDescent="0.3">
      <c r="A1" s="267" t="s">
        <v>216</v>
      </c>
      <c r="C1" s="267">
        <v>41</v>
      </c>
      <c r="D1" s="267">
        <v>42</v>
      </c>
      <c r="E1" s="267">
        <v>43</v>
      </c>
      <c r="F1" s="267">
        <v>44</v>
      </c>
      <c r="G1" s="267">
        <v>45</v>
      </c>
      <c r="H1" s="267">
        <v>46</v>
      </c>
      <c r="I1" s="267">
        <v>101</v>
      </c>
      <c r="J1" s="267">
        <v>47</v>
      </c>
      <c r="K1" s="267">
        <v>48</v>
      </c>
      <c r="L1" s="267">
        <v>49</v>
      </c>
      <c r="M1" s="267">
        <v>50</v>
      </c>
      <c r="N1" s="267">
        <v>51</v>
      </c>
      <c r="O1" s="267">
        <v>141</v>
      </c>
      <c r="P1" s="267">
        <v>52</v>
      </c>
      <c r="Q1" s="267">
        <v>53</v>
      </c>
      <c r="R1" s="267">
        <v>54</v>
      </c>
      <c r="S1" s="267">
        <v>55</v>
      </c>
      <c r="T1" s="267">
        <v>56</v>
      </c>
      <c r="U1" s="267">
        <v>57</v>
      </c>
      <c r="V1" s="267">
        <v>201</v>
      </c>
      <c r="W1" s="267">
        <v>58</v>
      </c>
      <c r="X1" s="267">
        <v>59</v>
      </c>
      <c r="Y1" s="267">
        <v>60</v>
      </c>
      <c r="Z1" s="267">
        <v>61</v>
      </c>
      <c r="AA1" s="267">
        <v>62</v>
      </c>
      <c r="AB1" s="267">
        <v>149</v>
      </c>
      <c r="AC1" s="267">
        <v>63</v>
      </c>
      <c r="AD1" s="267">
        <v>64</v>
      </c>
      <c r="AE1" s="267">
        <v>65</v>
      </c>
      <c r="AF1" s="267">
        <v>66</v>
      </c>
      <c r="AG1" s="267">
        <v>67</v>
      </c>
      <c r="AH1" s="267">
        <v>68</v>
      </c>
      <c r="AI1" s="267">
        <v>69</v>
      </c>
      <c r="AJ1" s="267">
        <v>70</v>
      </c>
      <c r="AK1" s="267">
        <v>71</v>
      </c>
      <c r="AL1" s="267">
        <v>72</v>
      </c>
      <c r="AM1" s="267">
        <v>73</v>
      </c>
      <c r="AN1" s="267">
        <v>157</v>
      </c>
      <c r="AO1" s="267">
        <v>74</v>
      </c>
      <c r="AP1" s="267">
        <v>75</v>
      </c>
      <c r="AQ1" s="267">
        <v>76</v>
      </c>
      <c r="AR1" s="267">
        <v>77</v>
      </c>
      <c r="AS1" s="267">
        <v>78</v>
      </c>
      <c r="AT1" s="267">
        <v>79</v>
      </c>
      <c r="AU1" s="267">
        <v>80</v>
      </c>
      <c r="AV1" s="267">
        <v>81</v>
      </c>
      <c r="AW1" s="267">
        <v>82</v>
      </c>
      <c r="AX1" s="267">
        <v>83</v>
      </c>
      <c r="AY1" s="267">
        <v>84</v>
      </c>
      <c r="AZ1" s="267">
        <v>169</v>
      </c>
    </row>
    <row r="2" spans="1:52" ht="21" x14ac:dyDescent="0.3">
      <c r="A2" s="267">
        <v>311309</v>
      </c>
      <c r="B2" s="276" t="s">
        <v>317</v>
      </c>
      <c r="C2" s="267" t="s">
        <v>217</v>
      </c>
      <c r="D2" s="267" t="s">
        <v>217</v>
      </c>
      <c r="E2" s="267" t="s">
        <v>217</v>
      </c>
      <c r="F2" s="267" t="s">
        <v>217</v>
      </c>
      <c r="G2" s="267" t="s">
        <v>217</v>
      </c>
      <c r="H2" s="267" t="s">
        <v>217</v>
      </c>
      <c r="I2" s="267" t="s">
        <v>217</v>
      </c>
      <c r="J2" s="267" t="s">
        <v>217</v>
      </c>
      <c r="K2" s="267" t="s">
        <v>217</v>
      </c>
      <c r="L2" s="267" t="s">
        <v>217</v>
      </c>
      <c r="M2" s="267" t="s">
        <v>217</v>
      </c>
      <c r="N2" s="267" t="s">
        <v>217</v>
      </c>
      <c r="O2" s="267" t="s">
        <v>217</v>
      </c>
    </row>
    <row r="3" spans="1:52" ht="21" x14ac:dyDescent="0.3">
      <c r="A3" s="267">
        <v>326241</v>
      </c>
      <c r="B3" s="276" t="s">
        <v>317</v>
      </c>
      <c r="C3" s="267" t="s">
        <v>219</v>
      </c>
      <c r="D3" s="267" t="s">
        <v>219</v>
      </c>
      <c r="E3" s="267" t="s">
        <v>219</v>
      </c>
      <c r="F3" s="267" t="s">
        <v>219</v>
      </c>
      <c r="G3" s="267" t="s">
        <v>219</v>
      </c>
      <c r="H3" s="267" t="s">
        <v>218</v>
      </c>
      <c r="I3" s="267" t="s">
        <v>218</v>
      </c>
      <c r="J3" s="267" t="s">
        <v>218</v>
      </c>
      <c r="K3" s="267" t="s">
        <v>217</v>
      </c>
      <c r="L3" s="267" t="s">
        <v>218</v>
      </c>
      <c r="M3" s="267" t="s">
        <v>217</v>
      </c>
      <c r="N3" s="267" t="s">
        <v>217</v>
      </c>
      <c r="O3" s="267" t="s">
        <v>217</v>
      </c>
    </row>
    <row r="4" spans="1:52" ht="21" x14ac:dyDescent="0.3">
      <c r="A4" s="267">
        <v>328027</v>
      </c>
      <c r="B4" s="276" t="s">
        <v>317</v>
      </c>
      <c r="C4" s="267" t="s">
        <v>218</v>
      </c>
      <c r="D4" s="267" t="s">
        <v>218</v>
      </c>
      <c r="E4" s="267" t="s">
        <v>218</v>
      </c>
      <c r="F4" s="267" t="s">
        <v>218</v>
      </c>
      <c r="G4" s="267" t="s">
        <v>218</v>
      </c>
      <c r="H4" s="267" t="s">
        <v>219</v>
      </c>
      <c r="I4" s="267" t="s">
        <v>218</v>
      </c>
      <c r="J4" s="267" t="s">
        <v>218</v>
      </c>
      <c r="K4" s="267" t="s">
        <v>217</v>
      </c>
      <c r="L4" s="267" t="s">
        <v>217</v>
      </c>
      <c r="M4" s="267" t="s">
        <v>217</v>
      </c>
      <c r="N4" s="267" t="s">
        <v>218</v>
      </c>
      <c r="O4" s="267" t="s">
        <v>217</v>
      </c>
    </row>
    <row r="5" spans="1:52" ht="21" x14ac:dyDescent="0.3">
      <c r="A5" s="267">
        <v>329366</v>
      </c>
      <c r="B5" s="276" t="s">
        <v>317</v>
      </c>
      <c r="C5" s="267" t="s">
        <v>218</v>
      </c>
      <c r="D5" s="267" t="s">
        <v>219</v>
      </c>
      <c r="E5" s="267" t="s">
        <v>219</v>
      </c>
      <c r="F5" s="267" t="s">
        <v>219</v>
      </c>
      <c r="G5" s="267" t="s">
        <v>219</v>
      </c>
      <c r="H5" s="267" t="s">
        <v>219</v>
      </c>
      <c r="I5" s="267" t="s">
        <v>219</v>
      </c>
      <c r="J5" s="267" t="s">
        <v>219</v>
      </c>
      <c r="K5" s="267" t="s">
        <v>219</v>
      </c>
      <c r="L5" s="267" t="s">
        <v>219</v>
      </c>
      <c r="M5" s="267" t="s">
        <v>219</v>
      </c>
      <c r="N5" s="267" t="s">
        <v>219</v>
      </c>
      <c r="O5" s="267" t="s">
        <v>219</v>
      </c>
    </row>
    <row r="6" spans="1:52" ht="21" x14ac:dyDescent="0.3">
      <c r="A6" s="267">
        <v>332365</v>
      </c>
      <c r="B6" s="276" t="s">
        <v>317</v>
      </c>
      <c r="C6" s="267" t="s">
        <v>217</v>
      </c>
      <c r="D6" s="267" t="s">
        <v>217</v>
      </c>
      <c r="E6" s="267" t="s">
        <v>218</v>
      </c>
      <c r="F6" s="267" t="s">
        <v>218</v>
      </c>
      <c r="G6" s="267" t="s">
        <v>218</v>
      </c>
      <c r="H6" s="267" t="s">
        <v>217</v>
      </c>
      <c r="I6" s="267" t="s">
        <v>217</v>
      </c>
      <c r="J6" s="267" t="s">
        <v>217</v>
      </c>
      <c r="K6" s="267" t="s">
        <v>217</v>
      </c>
      <c r="L6" s="267" t="s">
        <v>217</v>
      </c>
      <c r="M6" s="267" t="s">
        <v>217</v>
      </c>
      <c r="N6" s="267" t="s">
        <v>217</v>
      </c>
      <c r="O6" s="267" t="s">
        <v>217</v>
      </c>
    </row>
    <row r="7" spans="1:52" ht="21" x14ac:dyDescent="0.3">
      <c r="A7" s="267">
        <v>310892</v>
      </c>
      <c r="B7" s="276" t="s">
        <v>327</v>
      </c>
      <c r="C7" s="267" t="s">
        <v>217</v>
      </c>
      <c r="D7" s="267" t="s">
        <v>217</v>
      </c>
      <c r="E7" s="267" t="s">
        <v>217</v>
      </c>
      <c r="F7" s="267" t="s">
        <v>217</v>
      </c>
      <c r="G7" s="267" t="s">
        <v>217</v>
      </c>
      <c r="H7" s="267" t="s">
        <v>217</v>
      </c>
      <c r="I7" s="267" t="s">
        <v>217</v>
      </c>
      <c r="J7" s="267" t="s">
        <v>219</v>
      </c>
      <c r="K7" s="267" t="s">
        <v>217</v>
      </c>
      <c r="L7" s="267" t="s">
        <v>217</v>
      </c>
      <c r="M7" s="267" t="s">
        <v>217</v>
      </c>
      <c r="N7" s="267" t="s">
        <v>218</v>
      </c>
      <c r="O7" s="267" t="s">
        <v>217</v>
      </c>
      <c r="P7" s="267" t="s">
        <v>219</v>
      </c>
      <c r="Q7" s="267" t="s">
        <v>218</v>
      </c>
      <c r="R7" s="267" t="s">
        <v>219</v>
      </c>
      <c r="S7" s="267" t="s">
        <v>219</v>
      </c>
      <c r="T7" s="267" t="s">
        <v>217</v>
      </c>
      <c r="U7" s="267" t="s">
        <v>219</v>
      </c>
      <c r="V7" s="267" t="s">
        <v>217</v>
      </c>
      <c r="W7" s="267" t="s">
        <v>218</v>
      </c>
      <c r="X7" s="267" t="s">
        <v>218</v>
      </c>
      <c r="Y7" s="267" t="s">
        <v>218</v>
      </c>
      <c r="Z7" s="267" t="s">
        <v>217</v>
      </c>
      <c r="AA7" s="267" t="s">
        <v>217</v>
      </c>
      <c r="AB7" s="267" t="s">
        <v>217</v>
      </c>
    </row>
    <row r="8" spans="1:52" ht="21" x14ac:dyDescent="0.3">
      <c r="A8" s="267">
        <v>302941</v>
      </c>
      <c r="B8" s="276" t="s">
        <v>330</v>
      </c>
      <c r="C8" s="267" t="s">
        <v>217</v>
      </c>
      <c r="D8" s="267" t="s">
        <v>217</v>
      </c>
      <c r="E8" s="267" t="s">
        <v>217</v>
      </c>
      <c r="F8" s="267" t="s">
        <v>217</v>
      </c>
      <c r="G8" s="267" t="s">
        <v>217</v>
      </c>
      <c r="H8" s="267" t="s">
        <v>217</v>
      </c>
      <c r="I8" s="267" t="s">
        <v>217</v>
      </c>
      <c r="J8" s="267" t="s">
        <v>217</v>
      </c>
      <c r="K8" s="267" t="s">
        <v>217</v>
      </c>
      <c r="L8" s="267" t="s">
        <v>217</v>
      </c>
      <c r="M8" s="267" t="s">
        <v>217</v>
      </c>
      <c r="N8" s="267" t="s">
        <v>217</v>
      </c>
      <c r="O8" s="267" t="s">
        <v>217</v>
      </c>
      <c r="P8" s="267" t="s">
        <v>218</v>
      </c>
      <c r="Q8" s="267" t="s">
        <v>218</v>
      </c>
      <c r="R8" s="267" t="s">
        <v>217</v>
      </c>
      <c r="S8" s="267" t="s">
        <v>218</v>
      </c>
      <c r="T8" s="267" t="s">
        <v>218</v>
      </c>
      <c r="U8" s="267" t="s">
        <v>217</v>
      </c>
      <c r="V8" s="267" t="s">
        <v>217</v>
      </c>
      <c r="W8" s="267" t="s">
        <v>218</v>
      </c>
      <c r="X8" s="267" t="s">
        <v>217</v>
      </c>
      <c r="Y8" s="267" t="s">
        <v>218</v>
      </c>
      <c r="Z8" s="267" t="s">
        <v>217</v>
      </c>
      <c r="AA8" s="267" t="s">
        <v>218</v>
      </c>
      <c r="AB8" s="267" t="s">
        <v>218</v>
      </c>
      <c r="AC8" s="267" t="s">
        <v>217</v>
      </c>
      <c r="AD8" s="267" t="s">
        <v>217</v>
      </c>
      <c r="AE8" s="267" t="s">
        <v>217</v>
      </c>
      <c r="AF8" s="267" t="s">
        <v>217</v>
      </c>
      <c r="AG8" s="267" t="s">
        <v>217</v>
      </c>
      <c r="AH8" s="267" t="s">
        <v>217</v>
      </c>
      <c r="AI8" s="267" t="s">
        <v>217</v>
      </c>
      <c r="AJ8" s="267" t="s">
        <v>217</v>
      </c>
      <c r="AK8" s="267" t="s">
        <v>217</v>
      </c>
      <c r="AL8" s="267" t="s">
        <v>217</v>
      </c>
      <c r="AM8" s="267" t="s">
        <v>217</v>
      </c>
      <c r="AN8" s="267" t="s">
        <v>217</v>
      </c>
    </row>
    <row r="9" spans="1:52" ht="21" x14ac:dyDescent="0.3">
      <c r="A9" s="267">
        <v>304099</v>
      </c>
      <c r="B9" s="276" t="s">
        <v>330</v>
      </c>
      <c r="C9" s="267" t="s">
        <v>217</v>
      </c>
      <c r="D9" s="267" t="s">
        <v>217</v>
      </c>
      <c r="E9" s="267" t="s">
        <v>217</v>
      </c>
      <c r="F9" s="267" t="s">
        <v>217</v>
      </c>
      <c r="G9" s="267" t="s">
        <v>217</v>
      </c>
      <c r="H9" s="267" t="s">
        <v>217</v>
      </c>
      <c r="I9" s="267" t="s">
        <v>217</v>
      </c>
      <c r="J9" s="267" t="s">
        <v>217</v>
      </c>
      <c r="K9" s="267" t="s">
        <v>217</v>
      </c>
      <c r="L9" s="267" t="s">
        <v>217</v>
      </c>
      <c r="M9" s="267" t="s">
        <v>217</v>
      </c>
      <c r="N9" s="267" t="s">
        <v>217</v>
      </c>
      <c r="O9" s="267" t="s">
        <v>217</v>
      </c>
      <c r="P9" s="267" t="s">
        <v>219</v>
      </c>
      <c r="Q9" s="267" t="s">
        <v>217</v>
      </c>
      <c r="R9" s="267" t="s">
        <v>217</v>
      </c>
      <c r="S9" s="267" t="s">
        <v>217</v>
      </c>
      <c r="T9" s="267" t="s">
        <v>217</v>
      </c>
      <c r="U9" s="267" t="s">
        <v>217</v>
      </c>
      <c r="V9" s="267" t="s">
        <v>217</v>
      </c>
      <c r="W9" s="267" t="s">
        <v>217</v>
      </c>
      <c r="X9" s="267" t="s">
        <v>217</v>
      </c>
      <c r="Y9" s="267" t="s">
        <v>218</v>
      </c>
      <c r="Z9" s="267" t="s">
        <v>219</v>
      </c>
      <c r="AA9" s="267" t="s">
        <v>217</v>
      </c>
      <c r="AB9" s="267" t="s">
        <v>217</v>
      </c>
      <c r="AC9" s="267" t="s">
        <v>219</v>
      </c>
      <c r="AD9" s="267" t="s">
        <v>219</v>
      </c>
      <c r="AE9" s="267" t="s">
        <v>219</v>
      </c>
      <c r="AF9" s="267" t="s">
        <v>219</v>
      </c>
      <c r="AG9" s="267" t="s">
        <v>219</v>
      </c>
      <c r="AH9" s="267" t="s">
        <v>217</v>
      </c>
      <c r="AI9" s="267" t="s">
        <v>219</v>
      </c>
      <c r="AJ9" s="267" t="s">
        <v>219</v>
      </c>
      <c r="AK9" s="267" t="s">
        <v>219</v>
      </c>
      <c r="AL9" s="267" t="s">
        <v>219</v>
      </c>
      <c r="AM9" s="267" t="s">
        <v>219</v>
      </c>
      <c r="AN9" s="267" t="s">
        <v>217</v>
      </c>
    </row>
    <row r="10" spans="1:52" ht="21" x14ac:dyDescent="0.3">
      <c r="A10" s="267">
        <v>304516</v>
      </c>
      <c r="B10" s="276" t="s">
        <v>330</v>
      </c>
      <c r="C10" s="267" t="s">
        <v>219</v>
      </c>
      <c r="D10" s="267" t="s">
        <v>217</v>
      </c>
      <c r="E10" s="267" t="s">
        <v>217</v>
      </c>
      <c r="F10" s="267" t="s">
        <v>219</v>
      </c>
      <c r="G10" s="267" t="s">
        <v>217</v>
      </c>
      <c r="H10" s="267" t="s">
        <v>217</v>
      </c>
      <c r="I10" s="267" t="s">
        <v>217</v>
      </c>
      <c r="J10" s="267" t="s">
        <v>218</v>
      </c>
      <c r="K10" s="267" t="s">
        <v>217</v>
      </c>
      <c r="L10" s="267" t="s">
        <v>217</v>
      </c>
      <c r="M10" s="267" t="s">
        <v>218</v>
      </c>
      <c r="N10" s="267" t="s">
        <v>219</v>
      </c>
      <c r="O10" s="267" t="s">
        <v>217</v>
      </c>
      <c r="P10" s="267" t="s">
        <v>219</v>
      </c>
      <c r="Q10" s="267" t="s">
        <v>219</v>
      </c>
      <c r="R10" s="267" t="s">
        <v>219</v>
      </c>
      <c r="S10" s="267" t="s">
        <v>218</v>
      </c>
      <c r="T10" s="267" t="s">
        <v>219</v>
      </c>
      <c r="U10" s="267" t="s">
        <v>219</v>
      </c>
      <c r="V10" s="267" t="s">
        <v>217</v>
      </c>
      <c r="W10" s="267" t="s">
        <v>219</v>
      </c>
      <c r="X10" s="267" t="s">
        <v>219</v>
      </c>
      <c r="Y10" s="267" t="s">
        <v>219</v>
      </c>
      <c r="Z10" s="267" t="s">
        <v>219</v>
      </c>
      <c r="AA10" s="267" t="s">
        <v>219</v>
      </c>
      <c r="AB10" s="267" t="s">
        <v>219</v>
      </c>
      <c r="AC10" s="267" t="s">
        <v>219</v>
      </c>
      <c r="AD10" s="267" t="s">
        <v>219</v>
      </c>
      <c r="AE10" s="267" t="s">
        <v>218</v>
      </c>
      <c r="AF10" s="267" t="s">
        <v>218</v>
      </c>
      <c r="AG10" s="267" t="s">
        <v>219</v>
      </c>
      <c r="AH10" s="267" t="s">
        <v>219</v>
      </c>
      <c r="AI10" s="267" t="s">
        <v>218</v>
      </c>
      <c r="AJ10" s="267" t="s">
        <v>218</v>
      </c>
      <c r="AK10" s="267" t="s">
        <v>218</v>
      </c>
      <c r="AL10" s="267" t="s">
        <v>218</v>
      </c>
      <c r="AM10" s="267" t="s">
        <v>217</v>
      </c>
      <c r="AN10" s="267" t="s">
        <v>217</v>
      </c>
    </row>
    <row r="11" spans="1:52" ht="21" x14ac:dyDescent="0.3">
      <c r="A11" s="267">
        <v>306498</v>
      </c>
      <c r="B11" s="276" t="s">
        <v>330</v>
      </c>
      <c r="C11" s="267" t="s">
        <v>217</v>
      </c>
      <c r="D11" s="267" t="s">
        <v>217</v>
      </c>
      <c r="E11" s="267" t="s">
        <v>217</v>
      </c>
      <c r="F11" s="267" t="s">
        <v>217</v>
      </c>
      <c r="G11" s="267" t="s">
        <v>217</v>
      </c>
      <c r="H11" s="267" t="s">
        <v>217</v>
      </c>
      <c r="I11" s="267" t="s">
        <v>217</v>
      </c>
      <c r="J11" s="267" t="s">
        <v>217</v>
      </c>
      <c r="K11" s="267" t="s">
        <v>219</v>
      </c>
      <c r="L11" s="267" t="s">
        <v>217</v>
      </c>
      <c r="M11" s="267" t="s">
        <v>217</v>
      </c>
      <c r="N11" s="267" t="s">
        <v>217</v>
      </c>
      <c r="O11" s="267" t="s">
        <v>217</v>
      </c>
      <c r="P11" s="267" t="s">
        <v>219</v>
      </c>
      <c r="Q11" s="267" t="s">
        <v>218</v>
      </c>
      <c r="R11" s="267" t="s">
        <v>218</v>
      </c>
      <c r="S11" s="267" t="s">
        <v>217</v>
      </c>
      <c r="T11" s="267" t="s">
        <v>217</v>
      </c>
      <c r="U11" s="267" t="s">
        <v>219</v>
      </c>
      <c r="V11" s="267" t="s">
        <v>217</v>
      </c>
      <c r="W11" s="267" t="s">
        <v>218</v>
      </c>
      <c r="X11" s="267" t="s">
        <v>218</v>
      </c>
      <c r="Y11" s="267" t="s">
        <v>217</v>
      </c>
      <c r="Z11" s="267" t="s">
        <v>217</v>
      </c>
      <c r="AA11" s="267" t="s">
        <v>218</v>
      </c>
      <c r="AB11" s="267" t="s">
        <v>217</v>
      </c>
      <c r="AC11" s="267" t="s">
        <v>217</v>
      </c>
      <c r="AD11" s="267" t="s">
        <v>219</v>
      </c>
      <c r="AE11" s="267" t="s">
        <v>218</v>
      </c>
      <c r="AF11" s="267" t="s">
        <v>218</v>
      </c>
      <c r="AG11" s="267" t="s">
        <v>217</v>
      </c>
      <c r="AH11" s="267" t="s">
        <v>219</v>
      </c>
      <c r="AI11" s="267" t="s">
        <v>219</v>
      </c>
      <c r="AJ11" s="267" t="s">
        <v>218</v>
      </c>
      <c r="AK11" s="267" t="s">
        <v>217</v>
      </c>
      <c r="AL11" s="267" t="s">
        <v>219</v>
      </c>
      <c r="AM11" s="267" t="s">
        <v>219</v>
      </c>
      <c r="AN11" s="267" t="s">
        <v>219</v>
      </c>
    </row>
    <row r="12" spans="1:52" ht="21" x14ac:dyDescent="0.3">
      <c r="A12" s="267">
        <v>306936</v>
      </c>
      <c r="B12" s="276" t="s">
        <v>330</v>
      </c>
      <c r="C12" s="267" t="s">
        <v>217</v>
      </c>
      <c r="D12" s="267" t="s">
        <v>217</v>
      </c>
      <c r="E12" s="267" t="s">
        <v>217</v>
      </c>
      <c r="F12" s="267" t="s">
        <v>217</v>
      </c>
      <c r="G12" s="267" t="s">
        <v>217</v>
      </c>
      <c r="H12" s="267" t="s">
        <v>217</v>
      </c>
      <c r="I12" s="267" t="s">
        <v>217</v>
      </c>
      <c r="J12" s="267" t="s">
        <v>217</v>
      </c>
      <c r="K12" s="267" t="s">
        <v>217</v>
      </c>
      <c r="L12" s="267" t="s">
        <v>217</v>
      </c>
      <c r="M12" s="267" t="s">
        <v>218</v>
      </c>
      <c r="N12" s="267" t="s">
        <v>217</v>
      </c>
      <c r="O12" s="267" t="s">
        <v>217</v>
      </c>
      <c r="P12" s="267" t="s">
        <v>217</v>
      </c>
      <c r="Q12" s="267" t="s">
        <v>217</v>
      </c>
      <c r="R12" s="267" t="s">
        <v>217</v>
      </c>
      <c r="S12" s="267" t="s">
        <v>217</v>
      </c>
      <c r="T12" s="267" t="s">
        <v>217</v>
      </c>
      <c r="U12" s="267" t="s">
        <v>217</v>
      </c>
      <c r="V12" s="267" t="s">
        <v>217</v>
      </c>
      <c r="W12" s="267" t="s">
        <v>217</v>
      </c>
      <c r="X12" s="267" t="s">
        <v>217</v>
      </c>
      <c r="Y12" s="267" t="s">
        <v>217</v>
      </c>
      <c r="Z12" s="267" t="s">
        <v>217</v>
      </c>
      <c r="AA12" s="267" t="s">
        <v>217</v>
      </c>
      <c r="AB12" s="267" t="s">
        <v>219</v>
      </c>
      <c r="AC12" s="267" t="s">
        <v>218</v>
      </c>
      <c r="AD12" s="267" t="s">
        <v>218</v>
      </c>
      <c r="AE12" s="267" t="s">
        <v>218</v>
      </c>
      <c r="AF12" s="267" t="s">
        <v>219</v>
      </c>
      <c r="AG12" s="267" t="s">
        <v>219</v>
      </c>
      <c r="AH12" s="267" t="s">
        <v>219</v>
      </c>
      <c r="AI12" s="267" t="s">
        <v>218</v>
      </c>
      <c r="AJ12" s="267" t="s">
        <v>219</v>
      </c>
      <c r="AK12" s="267" t="s">
        <v>217</v>
      </c>
      <c r="AL12" s="267" t="s">
        <v>218</v>
      </c>
      <c r="AM12" s="267" t="s">
        <v>217</v>
      </c>
      <c r="AN12" s="267" t="s">
        <v>219</v>
      </c>
    </row>
    <row r="13" spans="1:52" ht="21" x14ac:dyDescent="0.3">
      <c r="A13" s="267">
        <v>307676</v>
      </c>
      <c r="B13" s="276" t="s">
        <v>330</v>
      </c>
      <c r="C13" s="267" t="s">
        <v>217</v>
      </c>
      <c r="D13" s="267" t="s">
        <v>217</v>
      </c>
      <c r="E13" s="267" t="s">
        <v>217</v>
      </c>
      <c r="F13" s="267" t="s">
        <v>217</v>
      </c>
      <c r="G13" s="267" t="s">
        <v>217</v>
      </c>
      <c r="H13" s="267" t="s">
        <v>219</v>
      </c>
      <c r="I13" s="267" t="s">
        <v>217</v>
      </c>
      <c r="J13" s="267" t="s">
        <v>217</v>
      </c>
      <c r="K13" s="267" t="s">
        <v>217</v>
      </c>
      <c r="L13" s="267" t="s">
        <v>217</v>
      </c>
      <c r="M13" s="267" t="s">
        <v>217</v>
      </c>
      <c r="N13" s="267" t="s">
        <v>218</v>
      </c>
      <c r="O13" s="267" t="s">
        <v>218</v>
      </c>
      <c r="P13" s="267" t="s">
        <v>217</v>
      </c>
      <c r="Q13" s="267" t="s">
        <v>217</v>
      </c>
      <c r="R13" s="267" t="s">
        <v>217</v>
      </c>
      <c r="S13" s="267" t="s">
        <v>217</v>
      </c>
      <c r="T13" s="267" t="s">
        <v>217</v>
      </c>
      <c r="U13" s="267" t="s">
        <v>217</v>
      </c>
      <c r="V13" s="267" t="s">
        <v>217</v>
      </c>
      <c r="W13" s="267" t="s">
        <v>217</v>
      </c>
      <c r="X13" s="267" t="s">
        <v>217</v>
      </c>
      <c r="Y13" s="267" t="s">
        <v>217</v>
      </c>
      <c r="Z13" s="267" t="s">
        <v>217</v>
      </c>
      <c r="AA13" s="267" t="s">
        <v>217</v>
      </c>
      <c r="AB13" s="267" t="s">
        <v>218</v>
      </c>
      <c r="AC13" s="267" t="s">
        <v>218</v>
      </c>
      <c r="AD13" s="267" t="s">
        <v>218</v>
      </c>
      <c r="AE13" s="267" t="s">
        <v>218</v>
      </c>
      <c r="AF13" s="267" t="s">
        <v>218</v>
      </c>
      <c r="AG13" s="267" t="s">
        <v>218</v>
      </c>
      <c r="AH13" s="267" t="s">
        <v>218</v>
      </c>
      <c r="AI13" s="267" t="s">
        <v>217</v>
      </c>
      <c r="AJ13" s="267" t="s">
        <v>217</v>
      </c>
      <c r="AK13" s="267" t="s">
        <v>217</v>
      </c>
      <c r="AL13" s="267" t="s">
        <v>217</v>
      </c>
      <c r="AM13" s="267" t="s">
        <v>217</v>
      </c>
      <c r="AN13" s="267" t="s">
        <v>217</v>
      </c>
    </row>
    <row r="14" spans="1:52" ht="21" x14ac:dyDescent="0.3">
      <c r="A14" s="267">
        <v>307845</v>
      </c>
      <c r="B14" s="276" t="s">
        <v>330</v>
      </c>
      <c r="C14" s="267" t="s">
        <v>217</v>
      </c>
      <c r="D14" s="267" t="s">
        <v>217</v>
      </c>
      <c r="E14" s="267" t="s">
        <v>217</v>
      </c>
      <c r="F14" s="267" t="s">
        <v>217</v>
      </c>
      <c r="G14" s="267" t="s">
        <v>217</v>
      </c>
      <c r="H14" s="267" t="s">
        <v>219</v>
      </c>
      <c r="I14" s="267" t="s">
        <v>217</v>
      </c>
      <c r="J14" s="267" t="s">
        <v>217</v>
      </c>
      <c r="K14" s="267" t="s">
        <v>217</v>
      </c>
      <c r="L14" s="267" t="s">
        <v>217</v>
      </c>
      <c r="M14" s="267" t="s">
        <v>217</v>
      </c>
      <c r="N14" s="267" t="s">
        <v>217</v>
      </c>
      <c r="O14" s="267" t="s">
        <v>219</v>
      </c>
      <c r="P14" s="267" t="s">
        <v>217</v>
      </c>
      <c r="Q14" s="267" t="s">
        <v>217</v>
      </c>
      <c r="R14" s="267" t="s">
        <v>217</v>
      </c>
      <c r="S14" s="267" t="s">
        <v>217</v>
      </c>
      <c r="T14" s="267" t="s">
        <v>217</v>
      </c>
      <c r="U14" s="267" t="s">
        <v>217</v>
      </c>
      <c r="V14" s="267" t="s">
        <v>217</v>
      </c>
      <c r="W14" s="267" t="s">
        <v>217</v>
      </c>
      <c r="X14" s="267" t="s">
        <v>217</v>
      </c>
      <c r="Y14" s="267" t="s">
        <v>217</v>
      </c>
      <c r="Z14" s="267" t="s">
        <v>217</v>
      </c>
      <c r="AA14" s="267" t="s">
        <v>217</v>
      </c>
      <c r="AB14" s="267" t="s">
        <v>219</v>
      </c>
      <c r="AC14" s="267" t="s">
        <v>217</v>
      </c>
      <c r="AD14" s="267" t="s">
        <v>217</v>
      </c>
      <c r="AE14" s="267" t="s">
        <v>217</v>
      </c>
      <c r="AF14" s="267" t="s">
        <v>217</v>
      </c>
      <c r="AG14" s="267" t="s">
        <v>217</v>
      </c>
      <c r="AH14" s="267" t="s">
        <v>217</v>
      </c>
      <c r="AI14" s="267" t="s">
        <v>217</v>
      </c>
      <c r="AJ14" s="267" t="s">
        <v>217</v>
      </c>
      <c r="AK14" s="267" t="s">
        <v>217</v>
      </c>
      <c r="AL14" s="267" t="s">
        <v>217</v>
      </c>
      <c r="AM14" s="267" t="s">
        <v>217</v>
      </c>
      <c r="AN14" s="267" t="s">
        <v>217</v>
      </c>
    </row>
    <row r="15" spans="1:52" ht="21" x14ac:dyDescent="0.3">
      <c r="A15" s="267">
        <v>307961</v>
      </c>
      <c r="B15" s="276" t="s">
        <v>330</v>
      </c>
      <c r="C15" s="267" t="s">
        <v>217</v>
      </c>
      <c r="D15" s="267" t="s">
        <v>217</v>
      </c>
      <c r="E15" s="267" t="s">
        <v>217</v>
      </c>
      <c r="F15" s="267" t="s">
        <v>217</v>
      </c>
      <c r="G15" s="267" t="s">
        <v>217</v>
      </c>
      <c r="H15" s="267" t="s">
        <v>217</v>
      </c>
      <c r="I15" s="267" t="s">
        <v>217</v>
      </c>
      <c r="J15" s="267" t="s">
        <v>219</v>
      </c>
      <c r="K15" s="267" t="s">
        <v>217</v>
      </c>
      <c r="L15" s="267" t="s">
        <v>217</v>
      </c>
      <c r="M15" s="267" t="s">
        <v>217</v>
      </c>
      <c r="N15" s="267" t="s">
        <v>217</v>
      </c>
      <c r="O15" s="267" t="s">
        <v>217</v>
      </c>
      <c r="P15" s="267" t="s">
        <v>219</v>
      </c>
      <c r="Q15" s="267" t="s">
        <v>217</v>
      </c>
      <c r="R15" s="267" t="s">
        <v>217</v>
      </c>
      <c r="S15" s="267" t="s">
        <v>217</v>
      </c>
      <c r="T15" s="267" t="s">
        <v>217</v>
      </c>
      <c r="U15" s="267" t="s">
        <v>217</v>
      </c>
      <c r="V15" s="267" t="s">
        <v>217</v>
      </c>
      <c r="W15" s="267" t="s">
        <v>219</v>
      </c>
      <c r="X15" s="267" t="s">
        <v>217</v>
      </c>
      <c r="Y15" s="267" t="s">
        <v>219</v>
      </c>
      <c r="Z15" s="267" t="s">
        <v>219</v>
      </c>
      <c r="AA15" s="267" t="s">
        <v>217</v>
      </c>
      <c r="AB15" s="267" t="s">
        <v>217</v>
      </c>
      <c r="AC15" s="267" t="s">
        <v>218</v>
      </c>
      <c r="AD15" s="267" t="s">
        <v>218</v>
      </c>
      <c r="AE15" s="267" t="s">
        <v>218</v>
      </c>
      <c r="AF15" s="267" t="s">
        <v>218</v>
      </c>
      <c r="AG15" s="267" t="s">
        <v>219</v>
      </c>
      <c r="AH15" s="267" t="s">
        <v>217</v>
      </c>
      <c r="AI15" s="267" t="s">
        <v>217</v>
      </c>
      <c r="AJ15" s="267" t="s">
        <v>217</v>
      </c>
      <c r="AK15" s="267" t="s">
        <v>218</v>
      </c>
      <c r="AL15" s="267" t="s">
        <v>217</v>
      </c>
      <c r="AM15" s="267" t="s">
        <v>217</v>
      </c>
      <c r="AN15" s="267" t="s">
        <v>218</v>
      </c>
    </row>
    <row r="16" spans="1:52" ht="21" x14ac:dyDescent="0.3">
      <c r="A16" s="267">
        <v>308237</v>
      </c>
      <c r="B16" s="276" t="s">
        <v>330</v>
      </c>
      <c r="C16" s="267" t="s">
        <v>217</v>
      </c>
      <c r="D16" s="267" t="s">
        <v>217</v>
      </c>
      <c r="E16" s="267" t="s">
        <v>217</v>
      </c>
      <c r="F16" s="267" t="s">
        <v>217</v>
      </c>
      <c r="G16" s="267" t="s">
        <v>217</v>
      </c>
      <c r="H16" s="267" t="s">
        <v>217</v>
      </c>
      <c r="I16" s="267" t="s">
        <v>217</v>
      </c>
      <c r="J16" s="267" t="s">
        <v>217</v>
      </c>
      <c r="K16" s="267" t="s">
        <v>217</v>
      </c>
      <c r="L16" s="267" t="s">
        <v>217</v>
      </c>
      <c r="M16" s="267" t="s">
        <v>219</v>
      </c>
      <c r="N16" s="267" t="s">
        <v>219</v>
      </c>
      <c r="O16" s="267" t="s">
        <v>219</v>
      </c>
      <c r="P16" s="267" t="s">
        <v>219</v>
      </c>
      <c r="Q16" s="267" t="s">
        <v>218</v>
      </c>
      <c r="R16" s="267" t="s">
        <v>218</v>
      </c>
      <c r="S16" s="267" t="s">
        <v>218</v>
      </c>
      <c r="T16" s="267" t="s">
        <v>218</v>
      </c>
      <c r="U16" s="267" t="s">
        <v>219</v>
      </c>
      <c r="V16" s="267" t="s">
        <v>217</v>
      </c>
      <c r="W16" s="267" t="s">
        <v>219</v>
      </c>
      <c r="X16" s="267" t="s">
        <v>217</v>
      </c>
      <c r="Y16" s="267" t="s">
        <v>218</v>
      </c>
      <c r="Z16" s="267" t="s">
        <v>217</v>
      </c>
      <c r="AA16" s="267" t="s">
        <v>219</v>
      </c>
      <c r="AB16" s="267" t="s">
        <v>219</v>
      </c>
      <c r="AC16" s="267" t="s">
        <v>218</v>
      </c>
      <c r="AD16" s="267" t="s">
        <v>218</v>
      </c>
      <c r="AE16" s="267" t="s">
        <v>217</v>
      </c>
      <c r="AF16" s="267" t="s">
        <v>218</v>
      </c>
      <c r="AG16" s="267" t="s">
        <v>218</v>
      </c>
      <c r="AH16" s="267" t="s">
        <v>219</v>
      </c>
      <c r="AI16" s="267" t="s">
        <v>217</v>
      </c>
      <c r="AJ16" s="267" t="s">
        <v>217</v>
      </c>
      <c r="AK16" s="267" t="s">
        <v>217</v>
      </c>
      <c r="AL16" s="267" t="s">
        <v>218</v>
      </c>
      <c r="AM16" s="267" t="s">
        <v>219</v>
      </c>
      <c r="AN16" s="267" t="s">
        <v>218</v>
      </c>
    </row>
    <row r="17" spans="1:52" ht="21" x14ac:dyDescent="0.3">
      <c r="A17" s="267">
        <v>308669</v>
      </c>
      <c r="B17" s="276" t="s">
        <v>330</v>
      </c>
      <c r="C17" s="267" t="s">
        <v>217</v>
      </c>
      <c r="D17" s="267" t="s">
        <v>217</v>
      </c>
      <c r="E17" s="267" t="s">
        <v>217</v>
      </c>
      <c r="F17" s="267" t="s">
        <v>217</v>
      </c>
      <c r="G17" s="267" t="s">
        <v>217</v>
      </c>
      <c r="H17" s="267" t="s">
        <v>217</v>
      </c>
      <c r="I17" s="267" t="s">
        <v>217</v>
      </c>
      <c r="J17" s="267" t="s">
        <v>217</v>
      </c>
      <c r="K17" s="267" t="s">
        <v>217</v>
      </c>
      <c r="L17" s="267" t="s">
        <v>217</v>
      </c>
      <c r="M17" s="267" t="s">
        <v>217</v>
      </c>
      <c r="N17" s="267" t="s">
        <v>217</v>
      </c>
      <c r="O17" s="267" t="s">
        <v>217</v>
      </c>
      <c r="P17" s="267" t="s">
        <v>218</v>
      </c>
      <c r="Q17" s="267" t="s">
        <v>217</v>
      </c>
      <c r="R17" s="267" t="s">
        <v>217</v>
      </c>
      <c r="S17" s="267" t="s">
        <v>217</v>
      </c>
      <c r="T17" s="267" t="s">
        <v>217</v>
      </c>
      <c r="U17" s="267" t="s">
        <v>217</v>
      </c>
      <c r="V17" s="267" t="s">
        <v>217</v>
      </c>
      <c r="W17" s="267" t="s">
        <v>218</v>
      </c>
      <c r="X17" s="267" t="s">
        <v>217</v>
      </c>
      <c r="Y17" s="267" t="s">
        <v>218</v>
      </c>
      <c r="Z17" s="267" t="s">
        <v>218</v>
      </c>
      <c r="AA17" s="267" t="s">
        <v>217</v>
      </c>
      <c r="AB17" s="267" t="s">
        <v>218</v>
      </c>
      <c r="AC17" s="267" t="s">
        <v>219</v>
      </c>
      <c r="AD17" s="267" t="s">
        <v>218</v>
      </c>
      <c r="AE17" s="267" t="s">
        <v>219</v>
      </c>
      <c r="AF17" s="267" t="s">
        <v>219</v>
      </c>
      <c r="AG17" s="267" t="s">
        <v>219</v>
      </c>
      <c r="AH17" s="267" t="s">
        <v>219</v>
      </c>
      <c r="AI17" s="267" t="s">
        <v>218</v>
      </c>
      <c r="AJ17" s="267" t="s">
        <v>219</v>
      </c>
      <c r="AK17" s="267" t="s">
        <v>219</v>
      </c>
      <c r="AL17" s="267" t="s">
        <v>218</v>
      </c>
      <c r="AM17" s="267" t="s">
        <v>218</v>
      </c>
      <c r="AN17" s="267" t="s">
        <v>218</v>
      </c>
    </row>
    <row r="18" spans="1:52" ht="21" x14ac:dyDescent="0.3">
      <c r="A18" s="267">
        <v>311089</v>
      </c>
      <c r="B18" s="276" t="s">
        <v>330</v>
      </c>
      <c r="C18" s="267" t="s">
        <v>217</v>
      </c>
      <c r="D18" s="267" t="s">
        <v>217</v>
      </c>
      <c r="E18" s="267" t="s">
        <v>217</v>
      </c>
      <c r="F18" s="267" t="s">
        <v>217</v>
      </c>
      <c r="G18" s="267" t="s">
        <v>217</v>
      </c>
      <c r="H18" s="267" t="s">
        <v>217</v>
      </c>
      <c r="I18" s="267" t="s">
        <v>217</v>
      </c>
      <c r="J18" s="267" t="s">
        <v>218</v>
      </c>
      <c r="K18" s="267" t="s">
        <v>217</v>
      </c>
      <c r="L18" s="267" t="s">
        <v>217</v>
      </c>
      <c r="M18" s="267" t="s">
        <v>217</v>
      </c>
      <c r="N18" s="267" t="s">
        <v>219</v>
      </c>
      <c r="O18" s="267" t="s">
        <v>217</v>
      </c>
      <c r="P18" s="267" t="s">
        <v>219</v>
      </c>
      <c r="Q18" s="267" t="s">
        <v>217</v>
      </c>
      <c r="R18" s="267" t="s">
        <v>217</v>
      </c>
      <c r="S18" s="267" t="s">
        <v>217</v>
      </c>
      <c r="T18" s="267" t="s">
        <v>217</v>
      </c>
      <c r="U18" s="267" t="s">
        <v>219</v>
      </c>
      <c r="V18" s="267" t="s">
        <v>217</v>
      </c>
      <c r="W18" s="267" t="s">
        <v>217</v>
      </c>
      <c r="X18" s="267" t="s">
        <v>219</v>
      </c>
      <c r="Y18" s="267" t="s">
        <v>219</v>
      </c>
      <c r="Z18" s="267" t="s">
        <v>219</v>
      </c>
      <c r="AA18" s="267" t="s">
        <v>218</v>
      </c>
      <c r="AB18" s="267" t="s">
        <v>219</v>
      </c>
      <c r="AC18" s="267" t="s">
        <v>217</v>
      </c>
      <c r="AD18" s="267" t="s">
        <v>217</v>
      </c>
      <c r="AE18" s="267" t="s">
        <v>217</v>
      </c>
      <c r="AF18" s="267" t="s">
        <v>217</v>
      </c>
      <c r="AG18" s="267" t="s">
        <v>217</v>
      </c>
      <c r="AH18" s="267" t="s">
        <v>217</v>
      </c>
      <c r="AI18" s="267" t="s">
        <v>217</v>
      </c>
      <c r="AJ18" s="267" t="s">
        <v>217</v>
      </c>
      <c r="AK18" s="267" t="s">
        <v>217</v>
      </c>
      <c r="AL18" s="267" t="s">
        <v>217</v>
      </c>
      <c r="AM18" s="267" t="s">
        <v>217</v>
      </c>
      <c r="AN18" s="267" t="s">
        <v>217</v>
      </c>
    </row>
    <row r="19" spans="1:52" ht="21" x14ac:dyDescent="0.3">
      <c r="A19" s="267">
        <v>313627</v>
      </c>
      <c r="B19" s="276" t="s">
        <v>330</v>
      </c>
      <c r="C19" s="267" t="s">
        <v>217</v>
      </c>
      <c r="D19" s="267" t="s">
        <v>217</v>
      </c>
      <c r="E19" s="267" t="s">
        <v>217</v>
      </c>
      <c r="F19" s="267" t="s">
        <v>217</v>
      </c>
      <c r="G19" s="267" t="s">
        <v>217</v>
      </c>
      <c r="H19" s="267" t="s">
        <v>217</v>
      </c>
      <c r="I19" s="267" t="s">
        <v>217</v>
      </c>
      <c r="J19" s="267" t="s">
        <v>219</v>
      </c>
      <c r="K19" s="267" t="s">
        <v>217</v>
      </c>
      <c r="L19" s="267" t="s">
        <v>217</v>
      </c>
      <c r="M19" s="267" t="s">
        <v>219</v>
      </c>
      <c r="N19" s="267" t="s">
        <v>217</v>
      </c>
      <c r="O19" s="267" t="s">
        <v>217</v>
      </c>
      <c r="P19" s="267" t="s">
        <v>217</v>
      </c>
      <c r="Q19" s="267" t="s">
        <v>218</v>
      </c>
      <c r="R19" s="267" t="s">
        <v>217</v>
      </c>
      <c r="S19" s="267" t="s">
        <v>217</v>
      </c>
      <c r="T19" s="267" t="s">
        <v>217</v>
      </c>
      <c r="U19" s="267" t="s">
        <v>217</v>
      </c>
      <c r="V19" s="267" t="s">
        <v>217</v>
      </c>
      <c r="W19" s="267" t="s">
        <v>219</v>
      </c>
      <c r="X19" s="267" t="s">
        <v>217</v>
      </c>
      <c r="Y19" s="267" t="s">
        <v>218</v>
      </c>
      <c r="Z19" s="267" t="s">
        <v>217</v>
      </c>
      <c r="AA19" s="267" t="s">
        <v>217</v>
      </c>
      <c r="AB19" s="267" t="s">
        <v>217</v>
      </c>
      <c r="AC19" s="267" t="s">
        <v>217</v>
      </c>
      <c r="AD19" s="267" t="s">
        <v>217</v>
      </c>
      <c r="AE19" s="267" t="s">
        <v>217</v>
      </c>
      <c r="AF19" s="267" t="s">
        <v>218</v>
      </c>
      <c r="AG19" s="267" t="s">
        <v>218</v>
      </c>
      <c r="AH19" s="267" t="s">
        <v>217</v>
      </c>
      <c r="AI19" s="267" t="s">
        <v>217</v>
      </c>
      <c r="AJ19" s="267" t="s">
        <v>219</v>
      </c>
      <c r="AK19" s="267" t="s">
        <v>217</v>
      </c>
      <c r="AL19" s="267" t="s">
        <v>217</v>
      </c>
      <c r="AM19" s="267" t="s">
        <v>217</v>
      </c>
      <c r="AN19" s="267" t="s">
        <v>217</v>
      </c>
    </row>
    <row r="20" spans="1:52" ht="21" x14ac:dyDescent="0.3">
      <c r="A20" s="267">
        <v>321084</v>
      </c>
      <c r="B20" s="276" t="s">
        <v>330</v>
      </c>
      <c r="C20" s="267" t="s">
        <v>217</v>
      </c>
      <c r="D20" s="267" t="s">
        <v>217</v>
      </c>
      <c r="E20" s="267" t="s">
        <v>217</v>
      </c>
      <c r="F20" s="267" t="s">
        <v>217</v>
      </c>
      <c r="G20" s="267" t="s">
        <v>217</v>
      </c>
      <c r="H20" s="267" t="s">
        <v>217</v>
      </c>
      <c r="I20" s="267" t="s">
        <v>217</v>
      </c>
      <c r="J20" s="267" t="s">
        <v>218</v>
      </c>
      <c r="K20" s="267" t="s">
        <v>219</v>
      </c>
      <c r="L20" s="267" t="s">
        <v>218</v>
      </c>
      <c r="M20" s="267" t="s">
        <v>219</v>
      </c>
      <c r="N20" s="267" t="s">
        <v>218</v>
      </c>
      <c r="O20" s="267" t="s">
        <v>218</v>
      </c>
      <c r="P20" s="267" t="s">
        <v>219</v>
      </c>
      <c r="Q20" s="267" t="s">
        <v>219</v>
      </c>
      <c r="R20" s="267" t="s">
        <v>219</v>
      </c>
      <c r="S20" s="267" t="s">
        <v>218</v>
      </c>
      <c r="T20" s="267" t="s">
        <v>219</v>
      </c>
      <c r="U20" s="267" t="s">
        <v>219</v>
      </c>
      <c r="V20" s="267" t="s">
        <v>219</v>
      </c>
      <c r="W20" s="267" t="s">
        <v>219</v>
      </c>
      <c r="X20" s="267" t="s">
        <v>218</v>
      </c>
      <c r="Y20" s="267" t="s">
        <v>219</v>
      </c>
      <c r="Z20" s="267" t="s">
        <v>217</v>
      </c>
      <c r="AA20" s="267" t="s">
        <v>219</v>
      </c>
      <c r="AB20" s="267" t="s">
        <v>219</v>
      </c>
      <c r="AC20" s="267" t="s">
        <v>217</v>
      </c>
      <c r="AD20" s="267" t="s">
        <v>217</v>
      </c>
      <c r="AE20" s="267" t="s">
        <v>217</v>
      </c>
      <c r="AF20" s="267" t="s">
        <v>217</v>
      </c>
      <c r="AG20" s="267" t="s">
        <v>217</v>
      </c>
      <c r="AH20" s="267" t="s">
        <v>217</v>
      </c>
      <c r="AI20" s="267" t="s">
        <v>217</v>
      </c>
      <c r="AJ20" s="267" t="s">
        <v>217</v>
      </c>
      <c r="AK20" s="267" t="s">
        <v>217</v>
      </c>
      <c r="AL20" s="267" t="s">
        <v>217</v>
      </c>
      <c r="AM20" s="267" t="s">
        <v>219</v>
      </c>
      <c r="AN20" s="267" t="s">
        <v>217</v>
      </c>
    </row>
    <row r="21" spans="1:52" ht="21" x14ac:dyDescent="0.3">
      <c r="A21" s="267">
        <v>322464</v>
      </c>
      <c r="B21" s="276" t="s">
        <v>330</v>
      </c>
      <c r="C21" s="267" t="s">
        <v>218</v>
      </c>
      <c r="D21" s="267" t="s">
        <v>218</v>
      </c>
      <c r="E21" s="267" t="s">
        <v>218</v>
      </c>
      <c r="F21" s="267" t="s">
        <v>218</v>
      </c>
      <c r="G21" s="267" t="s">
        <v>218</v>
      </c>
      <c r="H21" s="267" t="s">
        <v>219</v>
      </c>
      <c r="I21" s="267" t="s">
        <v>219</v>
      </c>
      <c r="J21" s="267" t="s">
        <v>218</v>
      </c>
      <c r="K21" s="267" t="s">
        <v>218</v>
      </c>
      <c r="L21" s="267" t="s">
        <v>219</v>
      </c>
      <c r="M21" s="267" t="s">
        <v>219</v>
      </c>
      <c r="N21" s="267" t="s">
        <v>218</v>
      </c>
      <c r="O21" s="267" t="s">
        <v>218</v>
      </c>
      <c r="P21" s="267" t="s">
        <v>219</v>
      </c>
      <c r="Q21" s="267" t="s">
        <v>218</v>
      </c>
      <c r="R21" s="267" t="s">
        <v>219</v>
      </c>
      <c r="S21" s="267" t="s">
        <v>218</v>
      </c>
      <c r="T21" s="267" t="s">
        <v>218</v>
      </c>
      <c r="U21" s="267" t="s">
        <v>218</v>
      </c>
      <c r="V21" s="267" t="s">
        <v>218</v>
      </c>
      <c r="W21" s="267" t="s">
        <v>219</v>
      </c>
      <c r="X21" s="267" t="s">
        <v>218</v>
      </c>
      <c r="Y21" s="267" t="s">
        <v>219</v>
      </c>
      <c r="Z21" s="267" t="s">
        <v>219</v>
      </c>
      <c r="AA21" s="267" t="s">
        <v>218</v>
      </c>
      <c r="AB21" s="267" t="s">
        <v>218</v>
      </c>
      <c r="AC21" s="267" t="s">
        <v>219</v>
      </c>
      <c r="AD21" s="267" t="s">
        <v>219</v>
      </c>
      <c r="AE21" s="267" t="s">
        <v>219</v>
      </c>
      <c r="AF21" s="267" t="s">
        <v>219</v>
      </c>
      <c r="AG21" s="267" t="s">
        <v>219</v>
      </c>
      <c r="AH21" s="267" t="s">
        <v>218</v>
      </c>
      <c r="AI21" s="267" t="s">
        <v>219</v>
      </c>
      <c r="AJ21" s="267" t="s">
        <v>218</v>
      </c>
      <c r="AK21" s="267" t="s">
        <v>218</v>
      </c>
      <c r="AL21" s="267" t="s">
        <v>218</v>
      </c>
      <c r="AM21" s="267" t="s">
        <v>219</v>
      </c>
      <c r="AN21" s="267" t="s">
        <v>218</v>
      </c>
    </row>
    <row r="22" spans="1:52" ht="21" x14ac:dyDescent="0.3">
      <c r="A22" s="267">
        <v>333708</v>
      </c>
      <c r="B22" s="276" t="s">
        <v>330</v>
      </c>
      <c r="C22" s="267" t="s">
        <v>217</v>
      </c>
      <c r="D22" s="267" t="s">
        <v>217</v>
      </c>
      <c r="E22" s="267" t="s">
        <v>217</v>
      </c>
      <c r="F22" s="267" t="s">
        <v>217</v>
      </c>
      <c r="G22" s="267" t="s">
        <v>217</v>
      </c>
      <c r="H22" s="267" t="s">
        <v>217</v>
      </c>
      <c r="I22" s="267" t="s">
        <v>217</v>
      </c>
      <c r="J22" s="267" t="s">
        <v>217</v>
      </c>
      <c r="K22" s="267" t="s">
        <v>217</v>
      </c>
      <c r="L22" s="267" t="s">
        <v>217</v>
      </c>
      <c r="M22" s="267" t="s">
        <v>217</v>
      </c>
      <c r="N22" s="267" t="s">
        <v>217</v>
      </c>
      <c r="O22" s="267" t="s">
        <v>217</v>
      </c>
      <c r="P22" s="267" t="s">
        <v>217</v>
      </c>
      <c r="Q22" s="267" t="s">
        <v>217</v>
      </c>
      <c r="R22" s="267" t="s">
        <v>217</v>
      </c>
      <c r="S22" s="267" t="s">
        <v>217</v>
      </c>
      <c r="T22" s="267" t="s">
        <v>217</v>
      </c>
      <c r="U22" s="267" t="s">
        <v>217</v>
      </c>
      <c r="V22" s="267" t="s">
        <v>217</v>
      </c>
      <c r="W22" s="267" t="s">
        <v>217</v>
      </c>
      <c r="X22" s="267" t="s">
        <v>217</v>
      </c>
      <c r="Y22" s="267" t="s">
        <v>217</v>
      </c>
      <c r="Z22" s="267" t="s">
        <v>217</v>
      </c>
      <c r="AA22" s="267" t="s">
        <v>217</v>
      </c>
      <c r="AB22" s="267" t="s">
        <v>217</v>
      </c>
      <c r="AC22" s="267" t="s">
        <v>217</v>
      </c>
      <c r="AD22" s="267" t="s">
        <v>217</v>
      </c>
      <c r="AE22" s="267" t="s">
        <v>217</v>
      </c>
      <c r="AF22" s="267" t="s">
        <v>217</v>
      </c>
      <c r="AG22" s="267" t="s">
        <v>217</v>
      </c>
      <c r="AH22" s="267" t="s">
        <v>217</v>
      </c>
      <c r="AI22" s="267" t="s">
        <v>217</v>
      </c>
      <c r="AJ22" s="267" t="s">
        <v>217</v>
      </c>
      <c r="AK22" s="267" t="s">
        <v>217</v>
      </c>
      <c r="AL22" s="267" t="s">
        <v>217</v>
      </c>
      <c r="AM22" s="267" t="s">
        <v>217</v>
      </c>
      <c r="AN22" s="267" t="s">
        <v>217</v>
      </c>
    </row>
    <row r="23" spans="1:52" ht="21" x14ac:dyDescent="0.3">
      <c r="A23" s="267">
        <v>306511</v>
      </c>
      <c r="B23" s="276" t="s">
        <v>368</v>
      </c>
      <c r="C23" s="267" t="s">
        <v>217</v>
      </c>
      <c r="D23" s="267" t="s">
        <v>217</v>
      </c>
      <c r="E23" s="267" t="s">
        <v>217</v>
      </c>
      <c r="F23" s="267" t="s">
        <v>217</v>
      </c>
      <c r="G23" s="267" t="s">
        <v>217</v>
      </c>
      <c r="H23" s="267" t="s">
        <v>217</v>
      </c>
      <c r="I23" s="267" t="s">
        <v>217</v>
      </c>
      <c r="J23" s="267" t="s">
        <v>217</v>
      </c>
      <c r="K23" s="267" t="s">
        <v>217</v>
      </c>
      <c r="L23" s="267" t="s">
        <v>217</v>
      </c>
      <c r="M23" s="267" t="s">
        <v>217</v>
      </c>
      <c r="N23" s="267" t="s">
        <v>217</v>
      </c>
      <c r="O23" s="267" t="s">
        <v>217</v>
      </c>
      <c r="P23" s="267" t="s">
        <v>219</v>
      </c>
      <c r="Q23" s="267" t="s">
        <v>217</v>
      </c>
      <c r="R23" s="267" t="s">
        <v>217</v>
      </c>
      <c r="S23" s="267" t="s">
        <v>217</v>
      </c>
      <c r="T23" s="267" t="s">
        <v>217</v>
      </c>
      <c r="U23" s="267" t="s">
        <v>217</v>
      </c>
      <c r="V23" s="267" t="s">
        <v>217</v>
      </c>
      <c r="W23" s="267" t="s">
        <v>217</v>
      </c>
      <c r="X23" s="267" t="s">
        <v>217</v>
      </c>
      <c r="Y23" s="267" t="s">
        <v>217</v>
      </c>
      <c r="Z23" s="267" t="s">
        <v>217</v>
      </c>
      <c r="AA23" s="267" t="s">
        <v>217</v>
      </c>
      <c r="AB23" s="267" t="s">
        <v>217</v>
      </c>
      <c r="AC23" s="267" t="s">
        <v>218</v>
      </c>
      <c r="AD23" s="267" t="s">
        <v>219</v>
      </c>
      <c r="AE23" s="267" t="s">
        <v>219</v>
      </c>
      <c r="AF23" s="267" t="s">
        <v>219</v>
      </c>
      <c r="AG23" s="267" t="s">
        <v>218</v>
      </c>
      <c r="AH23" s="267" t="s">
        <v>218</v>
      </c>
      <c r="AI23" s="267" t="s">
        <v>217</v>
      </c>
      <c r="AJ23" s="267" t="s">
        <v>217</v>
      </c>
      <c r="AK23" s="267" t="s">
        <v>217</v>
      </c>
      <c r="AL23" s="267" t="s">
        <v>218</v>
      </c>
      <c r="AM23" s="267" t="s">
        <v>218</v>
      </c>
      <c r="AN23" s="267" t="s">
        <v>218</v>
      </c>
      <c r="AO23" s="267" t="s">
        <v>219</v>
      </c>
      <c r="AP23" s="267" t="s">
        <v>219</v>
      </c>
      <c r="AQ23" s="267" t="s">
        <v>219</v>
      </c>
      <c r="AR23" s="267" t="s">
        <v>219</v>
      </c>
      <c r="AS23" s="267" t="s">
        <v>219</v>
      </c>
      <c r="AT23" s="267" t="s">
        <v>219</v>
      </c>
      <c r="AU23" s="267" t="s">
        <v>219</v>
      </c>
      <c r="AV23" s="267" t="s">
        <v>218</v>
      </c>
      <c r="AW23" s="267" t="s">
        <v>218</v>
      </c>
      <c r="AX23" s="267" t="s">
        <v>218</v>
      </c>
      <c r="AY23" s="267" t="s">
        <v>218</v>
      </c>
      <c r="AZ23" s="267" t="s">
        <v>218</v>
      </c>
    </row>
    <row r="24" spans="1:52" ht="21" x14ac:dyDescent="0.3">
      <c r="A24" s="277">
        <v>323965</v>
      </c>
      <c r="B24"/>
      <c r="C24" t="s">
        <v>219</v>
      </c>
      <c r="D24" t="s">
        <v>219</v>
      </c>
      <c r="E24" t="s">
        <v>219</v>
      </c>
      <c r="F24" t="s">
        <v>219</v>
      </c>
      <c r="G24" t="s">
        <v>219</v>
      </c>
      <c r="H24" t="s">
        <v>219</v>
      </c>
      <c r="I24" t="s">
        <v>219</v>
      </c>
      <c r="J24" t="s">
        <v>219</v>
      </c>
      <c r="K24" t="s">
        <v>219</v>
      </c>
      <c r="L24" t="s">
        <v>219</v>
      </c>
      <c r="M24" t="s">
        <v>219</v>
      </c>
      <c r="N24" t="s">
        <v>219</v>
      </c>
      <c r="O24" t="s">
        <v>219</v>
      </c>
      <c r="P24" t="s">
        <v>217</v>
      </c>
      <c r="Q24" t="s">
        <v>217</v>
      </c>
      <c r="R24" t="s">
        <v>217</v>
      </c>
      <c r="S24" t="s">
        <v>217</v>
      </c>
      <c r="T24" t="s">
        <v>217</v>
      </c>
      <c r="U24" t="s">
        <v>217</v>
      </c>
      <c r="V24" t="s">
        <v>217</v>
      </c>
      <c r="W24" t="s">
        <v>217</v>
      </c>
      <c r="X24" t="s">
        <v>217</v>
      </c>
      <c r="Y24" t="s">
        <v>217</v>
      </c>
      <c r="Z24" t="s">
        <v>217</v>
      </c>
      <c r="AA24" t="s">
        <v>217</v>
      </c>
      <c r="AB24" t="s">
        <v>217</v>
      </c>
      <c r="AC24"/>
      <c r="AD24"/>
      <c r="AE24"/>
      <c r="AF24"/>
      <c r="AG24"/>
      <c r="AH24"/>
      <c r="AI24"/>
      <c r="AJ24"/>
      <c r="AK24"/>
      <c r="AL24"/>
      <c r="AM24"/>
      <c r="AN24"/>
    </row>
    <row r="25" spans="1:52" ht="17.399999999999999" x14ac:dyDescent="0.3">
      <c r="A25" s="279">
        <v>318416</v>
      </c>
      <c r="B25"/>
      <c r="C25" t="s">
        <v>217</v>
      </c>
      <c r="D25" t="s">
        <v>217</v>
      </c>
      <c r="E25" t="s">
        <v>217</v>
      </c>
      <c r="F25" t="s">
        <v>217</v>
      </c>
      <c r="G25" t="s">
        <v>217</v>
      </c>
      <c r="H25" t="s">
        <v>217</v>
      </c>
      <c r="I25" t="s">
        <v>217</v>
      </c>
      <c r="J25" t="s">
        <v>217</v>
      </c>
      <c r="K25" t="s">
        <v>217</v>
      </c>
      <c r="L25" t="s">
        <v>217</v>
      </c>
      <c r="M25" t="s">
        <v>217</v>
      </c>
      <c r="N25" t="s">
        <v>217</v>
      </c>
      <c r="O25" t="s">
        <v>217</v>
      </c>
      <c r="P25" t="s">
        <v>218</v>
      </c>
      <c r="Q25" t="s">
        <v>218</v>
      </c>
      <c r="R25" t="s">
        <v>218</v>
      </c>
      <c r="S25" t="s">
        <v>218</v>
      </c>
      <c r="T25" t="s">
        <v>218</v>
      </c>
      <c r="U25" t="s">
        <v>218</v>
      </c>
      <c r="V25" t="s">
        <v>218</v>
      </c>
      <c r="W25" t="s">
        <v>218</v>
      </c>
      <c r="X25" t="s">
        <v>218</v>
      </c>
      <c r="Y25" t="s">
        <v>218</v>
      </c>
      <c r="Z25" t="s">
        <v>218</v>
      </c>
      <c r="AA25" t="s">
        <v>218</v>
      </c>
      <c r="AB25" t="s">
        <v>218</v>
      </c>
      <c r="AC25" t="s">
        <v>218</v>
      </c>
      <c r="AD25" t="s">
        <v>218</v>
      </c>
      <c r="AE25" t="s">
        <v>218</v>
      </c>
      <c r="AF25" t="s">
        <v>218</v>
      </c>
      <c r="AG25" t="s">
        <v>218</v>
      </c>
      <c r="AH25" t="s">
        <v>218</v>
      </c>
      <c r="AI25" t="s">
        <v>218</v>
      </c>
      <c r="AJ25" t="s">
        <v>218</v>
      </c>
      <c r="AK25" t="s">
        <v>218</v>
      </c>
      <c r="AL25" t="s">
        <v>218</v>
      </c>
      <c r="AM25" t="s">
        <v>218</v>
      </c>
      <c r="AN25" t="s">
        <v>218</v>
      </c>
    </row>
    <row r="26" spans="1:52" ht="17.399999999999999" x14ac:dyDescent="0.3">
      <c r="A26" s="279">
        <v>300208</v>
      </c>
      <c r="B26"/>
      <c r="C26" t="s">
        <v>217</v>
      </c>
      <c r="D26" t="s">
        <v>217</v>
      </c>
      <c r="E26" t="s">
        <v>217</v>
      </c>
      <c r="F26" t="s">
        <v>217</v>
      </c>
      <c r="G26" t="s">
        <v>217</v>
      </c>
      <c r="H26" t="s">
        <v>217</v>
      </c>
      <c r="I26" t="s">
        <v>217</v>
      </c>
      <c r="J26" t="s">
        <v>217</v>
      </c>
      <c r="K26" t="s">
        <v>217</v>
      </c>
      <c r="L26" t="s">
        <v>217</v>
      </c>
      <c r="M26" t="s">
        <v>217</v>
      </c>
      <c r="N26" t="s">
        <v>217</v>
      </c>
      <c r="O26" t="s">
        <v>217</v>
      </c>
      <c r="P26" t="s">
        <v>219</v>
      </c>
      <c r="Q26" t="s">
        <v>219</v>
      </c>
      <c r="R26" t="s">
        <v>219</v>
      </c>
      <c r="S26" t="s">
        <v>219</v>
      </c>
      <c r="T26" t="s">
        <v>219</v>
      </c>
      <c r="U26" t="s">
        <v>219</v>
      </c>
      <c r="V26" t="s">
        <v>219</v>
      </c>
      <c r="W26" t="s">
        <v>219</v>
      </c>
      <c r="X26" t="s">
        <v>219</v>
      </c>
      <c r="Y26" t="s">
        <v>219</v>
      </c>
      <c r="Z26" t="s">
        <v>219</v>
      </c>
      <c r="AA26" t="s">
        <v>219</v>
      </c>
      <c r="AB26" t="s">
        <v>219</v>
      </c>
      <c r="AC26" t="s">
        <v>219</v>
      </c>
      <c r="AD26" t="s">
        <v>219</v>
      </c>
      <c r="AE26" t="s">
        <v>219</v>
      </c>
      <c r="AF26" t="s">
        <v>219</v>
      </c>
      <c r="AG26" t="s">
        <v>219</v>
      </c>
      <c r="AH26" t="s">
        <v>219</v>
      </c>
      <c r="AI26" t="s">
        <v>219</v>
      </c>
      <c r="AJ26" t="s">
        <v>219</v>
      </c>
      <c r="AK26" t="s">
        <v>219</v>
      </c>
      <c r="AL26" t="s">
        <v>219</v>
      </c>
      <c r="AM26" t="s">
        <v>219</v>
      </c>
      <c r="AN26" t="s">
        <v>219</v>
      </c>
      <c r="AO26" s="267" t="s">
        <v>219</v>
      </c>
      <c r="AP26" s="267" t="s">
        <v>219</v>
      </c>
      <c r="AQ26" s="267" t="s">
        <v>219</v>
      </c>
      <c r="AR26" s="267" t="s">
        <v>219</v>
      </c>
      <c r="AS26" s="267" t="s">
        <v>219</v>
      </c>
      <c r="AT26" s="267" t="s">
        <v>219</v>
      </c>
      <c r="AU26" s="267" t="s">
        <v>219</v>
      </c>
      <c r="AV26" s="267" t="s">
        <v>219</v>
      </c>
      <c r="AW26" s="267" t="s">
        <v>219</v>
      </c>
      <c r="AX26" s="267" t="s">
        <v>219</v>
      </c>
      <c r="AY26" s="267" t="s">
        <v>219</v>
      </c>
      <c r="AZ26" s="267" t="s">
        <v>219</v>
      </c>
    </row>
    <row r="27" spans="1:52" ht="17.399999999999999" x14ac:dyDescent="0.3">
      <c r="A27" s="279">
        <v>315048</v>
      </c>
      <c r="B27"/>
      <c r="C27" t="s">
        <v>217</v>
      </c>
      <c r="D27" t="s">
        <v>217</v>
      </c>
      <c r="E27" t="s">
        <v>217</v>
      </c>
      <c r="F27" t="s">
        <v>217</v>
      </c>
      <c r="G27" t="s">
        <v>217</v>
      </c>
      <c r="H27" t="s">
        <v>217</v>
      </c>
      <c r="I27" t="s">
        <v>217</v>
      </c>
      <c r="J27" t="s">
        <v>217</v>
      </c>
      <c r="K27" t="s">
        <v>217</v>
      </c>
      <c r="L27" t="s">
        <v>217</v>
      </c>
      <c r="M27" t="s">
        <v>217</v>
      </c>
      <c r="N27" t="s">
        <v>217</v>
      </c>
      <c r="O27" t="s">
        <v>217</v>
      </c>
      <c r="P27" t="s">
        <v>218</v>
      </c>
      <c r="Q27" t="s">
        <v>218</v>
      </c>
      <c r="R27" t="s">
        <v>218</v>
      </c>
      <c r="S27" t="s">
        <v>218</v>
      </c>
      <c r="T27" t="s">
        <v>218</v>
      </c>
      <c r="U27" t="s">
        <v>218</v>
      </c>
      <c r="V27" t="s">
        <v>218</v>
      </c>
      <c r="W27" t="s">
        <v>218</v>
      </c>
      <c r="X27" t="s">
        <v>218</v>
      </c>
      <c r="Y27" t="s">
        <v>218</v>
      </c>
      <c r="Z27" t="s">
        <v>218</v>
      </c>
      <c r="AA27" t="s">
        <v>218</v>
      </c>
      <c r="AB27" t="s">
        <v>218</v>
      </c>
      <c r="AC27" t="s">
        <v>218</v>
      </c>
      <c r="AD27" t="s">
        <v>218</v>
      </c>
      <c r="AE27" t="s">
        <v>218</v>
      </c>
      <c r="AF27" t="s">
        <v>218</v>
      </c>
      <c r="AG27" t="s">
        <v>218</v>
      </c>
      <c r="AH27" t="s">
        <v>218</v>
      </c>
      <c r="AI27" t="s">
        <v>218</v>
      </c>
      <c r="AJ27" t="s">
        <v>218</v>
      </c>
      <c r="AK27" t="s">
        <v>218</v>
      </c>
      <c r="AL27" t="s">
        <v>218</v>
      </c>
      <c r="AM27" t="s">
        <v>218</v>
      </c>
      <c r="AN27" t="s">
        <v>218</v>
      </c>
      <c r="AO27" s="267" t="s">
        <v>219</v>
      </c>
      <c r="AP27" s="267" t="s">
        <v>219</v>
      </c>
      <c r="AQ27" s="267" t="s">
        <v>219</v>
      </c>
      <c r="AR27" s="267" t="s">
        <v>219</v>
      </c>
      <c r="AS27" s="267" t="s">
        <v>219</v>
      </c>
      <c r="AT27" s="267" t="s">
        <v>219</v>
      </c>
      <c r="AU27" s="267" t="s">
        <v>219</v>
      </c>
      <c r="AV27" s="267" t="s">
        <v>219</v>
      </c>
      <c r="AW27" s="267" t="s">
        <v>219</v>
      </c>
      <c r="AX27" s="267" t="s">
        <v>219</v>
      </c>
      <c r="AY27" s="267" t="s">
        <v>219</v>
      </c>
      <c r="AZ27" s="267" t="s">
        <v>219</v>
      </c>
    </row>
  </sheetData>
  <sheetProtection algorithmName="SHA-512" hashValue="ordaglFC013Pk3hk+igfSixS/rjYoOI0JhgUnGrbykCTEbedBFyeskKVP/U09MEEJG8f4LXxAAPWhx6Z9QJrcg==" saltValue="3cHrTQ5QubzF3W3D9AIQ3A==" spinCount="100000" sheet="1" objects="1" scenarios="1"/>
  <autoFilter ref="A1:AZ1" xr:uid="{00000000-0001-0000-0500-000000000000}">
    <sortState xmlns:xlrd2="http://schemas.microsoft.com/office/spreadsheetml/2017/richdata2" ref="A2:AZ69">
      <sortCondition ref="B1"/>
    </sortState>
  </autoFilter>
  <conditionalFormatting sqref="A2:A23 A28:A69">
    <cfRule type="duplicateValues" dxfId="4" priority="2"/>
  </conditionalFormatting>
  <conditionalFormatting sqref="A24:A27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Z3475"/>
  <sheetViews>
    <sheetView rightToLeft="1" workbookViewId="0">
      <pane xSplit="1" ySplit="2" topLeftCell="B8" activePane="bottomRight" state="frozen"/>
      <selection pane="topRight" activeCell="B1" sqref="B1"/>
      <selection pane="bottomLeft" activeCell="A2" sqref="A2"/>
      <selection pane="bottomRight" activeCell="A25" sqref="A25:D28"/>
    </sheetView>
  </sheetViews>
  <sheetFormatPr defaultColWidth="9" defaultRowHeight="14.4" x14ac:dyDescent="0.3"/>
  <cols>
    <col min="1" max="1" width="11.77734375" style="267" bestFit="1" customWidth="1"/>
    <col min="2" max="2" width="22.77734375" style="267" bestFit="1" customWidth="1"/>
    <col min="3" max="3" width="12.77734375" style="267" bestFit="1" customWidth="1"/>
    <col min="4" max="4" width="15.6640625" style="267" bestFit="1" customWidth="1"/>
    <col min="5" max="5" width="9" style="267"/>
    <col min="6" max="6" width="17.6640625" style="267" bestFit="1" customWidth="1"/>
    <col min="7" max="7" width="24.109375" style="267" bestFit="1" customWidth="1"/>
    <col min="8" max="8" width="11.88671875" style="275" bestFit="1" customWidth="1"/>
    <col min="9" max="9" width="9" style="267"/>
    <col min="10" max="10" width="10.5546875" style="267" bestFit="1" customWidth="1"/>
    <col min="11" max="11" width="11.109375" style="267" bestFit="1" customWidth="1"/>
    <col min="12" max="12" width="13.21875" style="267" bestFit="1" customWidth="1"/>
    <col min="13" max="13" width="9" style="267"/>
    <col min="14" max="14" width="15.44140625" style="267" bestFit="1" customWidth="1"/>
    <col min="15" max="15" width="15.6640625" style="267" bestFit="1" customWidth="1"/>
    <col min="16" max="17" width="9" style="267"/>
    <col min="18" max="18" width="9.88671875" style="267" bestFit="1" customWidth="1"/>
    <col min="19" max="16384" width="9" style="267"/>
  </cols>
  <sheetData>
    <row r="1" spans="1:26" x14ac:dyDescent="0.3">
      <c r="A1" s="267">
        <v>1</v>
      </c>
      <c r="B1" s="267">
        <v>2</v>
      </c>
      <c r="C1" s="267">
        <v>3</v>
      </c>
      <c r="D1" s="267">
        <v>4</v>
      </c>
      <c r="E1" s="267">
        <v>5</v>
      </c>
      <c r="F1" s="267">
        <v>6</v>
      </c>
      <c r="G1" s="267">
        <v>7</v>
      </c>
      <c r="H1" s="267">
        <v>8</v>
      </c>
      <c r="I1" s="267">
        <v>9</v>
      </c>
      <c r="J1" s="267">
        <v>10</v>
      </c>
      <c r="K1" s="267">
        <v>11</v>
      </c>
      <c r="L1" s="267">
        <v>12</v>
      </c>
      <c r="M1" s="267">
        <v>13</v>
      </c>
      <c r="N1" s="267">
        <v>14</v>
      </c>
      <c r="O1" s="267">
        <v>15</v>
      </c>
      <c r="P1" s="267">
        <v>16</v>
      </c>
      <c r="Q1" s="267">
        <v>17</v>
      </c>
      <c r="R1" s="267">
        <v>18</v>
      </c>
      <c r="S1" s="267">
        <v>19</v>
      </c>
      <c r="T1" s="267">
        <v>20</v>
      </c>
      <c r="U1" s="267">
        <v>21</v>
      </c>
      <c r="V1" s="267">
        <v>22</v>
      </c>
      <c r="W1" s="267">
        <v>23</v>
      </c>
      <c r="X1" s="267">
        <v>24</v>
      </c>
      <c r="Y1" s="267">
        <v>25</v>
      </c>
      <c r="Z1" s="267">
        <v>26</v>
      </c>
    </row>
    <row r="2" spans="1:26" s="272" customFormat="1" x14ac:dyDescent="0.3">
      <c r="A2" s="272" t="s">
        <v>284</v>
      </c>
      <c r="B2" s="272" t="s">
        <v>285</v>
      </c>
      <c r="C2" s="272" t="s">
        <v>49</v>
      </c>
      <c r="D2" s="272" t="s">
        <v>50</v>
      </c>
      <c r="E2" s="272" t="s">
        <v>11</v>
      </c>
      <c r="F2" s="273" t="s">
        <v>51</v>
      </c>
      <c r="G2" s="272" t="s">
        <v>6</v>
      </c>
      <c r="H2" s="274" t="s">
        <v>10</v>
      </c>
      <c r="I2" s="274" t="s">
        <v>9</v>
      </c>
      <c r="J2" s="274" t="s">
        <v>12</v>
      </c>
      <c r="K2" s="272" t="s">
        <v>243</v>
      </c>
      <c r="L2" s="274" t="s">
        <v>286</v>
      </c>
      <c r="M2" s="272" t="s">
        <v>226</v>
      </c>
      <c r="N2" s="272" t="s">
        <v>71</v>
      </c>
      <c r="O2" s="272" t="s">
        <v>287</v>
      </c>
      <c r="P2" s="272" t="s">
        <v>15</v>
      </c>
      <c r="Q2" s="272" t="s">
        <v>106</v>
      </c>
      <c r="R2" s="272" t="s">
        <v>107</v>
      </c>
      <c r="S2" s="272" t="s">
        <v>57</v>
      </c>
      <c r="T2" s="272" t="s">
        <v>108</v>
      </c>
      <c r="U2" s="272" t="s">
        <v>44</v>
      </c>
      <c r="V2" s="272" t="s">
        <v>288</v>
      </c>
      <c r="W2" s="272" t="s">
        <v>289</v>
      </c>
      <c r="X2" s="272" t="s">
        <v>290</v>
      </c>
      <c r="Y2" s="272" t="s">
        <v>291</v>
      </c>
      <c r="Z2" s="272" t="s">
        <v>292</v>
      </c>
    </row>
    <row r="3" spans="1:26" x14ac:dyDescent="0.3">
      <c r="A3" s="267">
        <v>311309</v>
      </c>
      <c r="B3" s="267" t="s">
        <v>315</v>
      </c>
      <c r="C3" s="267" t="s">
        <v>202</v>
      </c>
      <c r="D3" s="267" t="s">
        <v>316</v>
      </c>
      <c r="H3" s="267"/>
      <c r="I3" s="267" t="s">
        <v>230</v>
      </c>
    </row>
    <row r="4" spans="1:26" x14ac:dyDescent="0.3">
      <c r="A4" s="267">
        <v>326241</v>
      </c>
      <c r="B4" s="267" t="s">
        <v>318</v>
      </c>
      <c r="C4" s="267" t="s">
        <v>200</v>
      </c>
      <c r="D4" s="267" t="s">
        <v>319</v>
      </c>
      <c r="H4" s="267"/>
      <c r="I4" s="267" t="s">
        <v>230</v>
      </c>
    </row>
    <row r="5" spans="1:26" x14ac:dyDescent="0.3">
      <c r="A5" s="267">
        <v>328027</v>
      </c>
      <c r="B5" s="267" t="s">
        <v>320</v>
      </c>
      <c r="C5" s="267" t="s">
        <v>200</v>
      </c>
      <c r="D5" s="267" t="s">
        <v>203</v>
      </c>
      <c r="H5" s="267"/>
      <c r="I5" s="267" t="s">
        <v>230</v>
      </c>
    </row>
    <row r="6" spans="1:26" x14ac:dyDescent="0.3">
      <c r="A6" s="267">
        <v>329366</v>
      </c>
      <c r="B6" s="267" t="s">
        <v>321</v>
      </c>
      <c r="C6" s="267" t="s">
        <v>198</v>
      </c>
      <c r="D6" s="267" t="s">
        <v>322</v>
      </c>
      <c r="H6" s="267"/>
      <c r="I6" s="267" t="s">
        <v>230</v>
      </c>
    </row>
    <row r="7" spans="1:26" x14ac:dyDescent="0.3">
      <c r="A7" s="267">
        <v>332365</v>
      </c>
      <c r="B7" s="267" t="s">
        <v>323</v>
      </c>
      <c r="C7" s="267" t="s">
        <v>324</v>
      </c>
      <c r="D7" s="267" t="s">
        <v>325</v>
      </c>
      <c r="H7" s="267"/>
      <c r="I7" s="267" t="s">
        <v>230</v>
      </c>
    </row>
    <row r="8" spans="1:26" x14ac:dyDescent="0.3">
      <c r="A8" s="267">
        <v>310892</v>
      </c>
      <c r="B8" s="267" t="s">
        <v>326</v>
      </c>
      <c r="C8" s="267" t="s">
        <v>199</v>
      </c>
      <c r="H8" s="267"/>
      <c r="I8" s="267" t="s">
        <v>238</v>
      </c>
    </row>
    <row r="9" spans="1:26" x14ac:dyDescent="0.3">
      <c r="A9" s="267">
        <v>302941</v>
      </c>
      <c r="B9" s="267" t="s">
        <v>328</v>
      </c>
      <c r="C9" s="267" t="s">
        <v>200</v>
      </c>
      <c r="D9" s="267" t="s">
        <v>329</v>
      </c>
      <c r="I9" s="267" t="s">
        <v>246</v>
      </c>
      <c r="J9" s="267" t="s">
        <v>106</v>
      </c>
    </row>
    <row r="10" spans="1:26" x14ac:dyDescent="0.3">
      <c r="A10" s="267">
        <v>304099</v>
      </c>
      <c r="B10" s="267" t="s">
        <v>331</v>
      </c>
      <c r="C10" s="267" t="s">
        <v>332</v>
      </c>
      <c r="D10" s="267" t="s">
        <v>333</v>
      </c>
      <c r="H10" s="267"/>
      <c r="I10" s="267" t="s">
        <v>246</v>
      </c>
      <c r="J10" s="267" t="s">
        <v>106</v>
      </c>
    </row>
    <row r="11" spans="1:26" x14ac:dyDescent="0.3">
      <c r="A11" s="267">
        <v>304516</v>
      </c>
      <c r="B11" s="267" t="s">
        <v>334</v>
      </c>
      <c r="C11" s="267" t="s">
        <v>335</v>
      </c>
      <c r="H11" s="267"/>
      <c r="I11" s="267" t="s">
        <v>246</v>
      </c>
      <c r="J11" s="267" t="s">
        <v>106</v>
      </c>
    </row>
    <row r="12" spans="1:26" x14ac:dyDescent="0.3">
      <c r="A12" s="267">
        <v>306498</v>
      </c>
      <c r="B12" s="267" t="s">
        <v>336</v>
      </c>
      <c r="C12" s="267" t="s">
        <v>337</v>
      </c>
      <c r="D12" s="267" t="s">
        <v>338</v>
      </c>
      <c r="H12" s="267"/>
      <c r="I12" s="267" t="s">
        <v>246</v>
      </c>
      <c r="J12" s="267" t="s">
        <v>106</v>
      </c>
    </row>
    <row r="13" spans="1:26" x14ac:dyDescent="0.3">
      <c r="A13" s="267">
        <v>306936</v>
      </c>
      <c r="B13" s="267" t="s">
        <v>339</v>
      </c>
      <c r="C13" s="267" t="s">
        <v>198</v>
      </c>
      <c r="D13" s="267" t="s">
        <v>340</v>
      </c>
      <c r="H13" s="267"/>
      <c r="I13" s="267" t="s">
        <v>246</v>
      </c>
      <c r="J13" s="267" t="s">
        <v>106</v>
      </c>
    </row>
    <row r="14" spans="1:26" x14ac:dyDescent="0.3">
      <c r="A14" s="267">
        <v>307676</v>
      </c>
      <c r="B14" s="267" t="s">
        <v>341</v>
      </c>
      <c r="C14" s="267" t="s">
        <v>198</v>
      </c>
      <c r="D14" s="267" t="s">
        <v>342</v>
      </c>
      <c r="H14" s="267"/>
      <c r="I14" s="267" t="s">
        <v>246</v>
      </c>
      <c r="J14" s="267" t="s">
        <v>106</v>
      </c>
    </row>
    <row r="15" spans="1:26" x14ac:dyDescent="0.3">
      <c r="A15" s="267">
        <v>307845</v>
      </c>
      <c r="B15" s="267" t="s">
        <v>343</v>
      </c>
      <c r="C15" s="267" t="s">
        <v>200</v>
      </c>
      <c r="D15" s="267" t="s">
        <v>344</v>
      </c>
      <c r="H15" s="267"/>
      <c r="I15" s="267" t="s">
        <v>246</v>
      </c>
      <c r="J15" s="267" t="s">
        <v>106</v>
      </c>
    </row>
    <row r="16" spans="1:26" x14ac:dyDescent="0.3">
      <c r="A16" s="267">
        <v>307961</v>
      </c>
      <c r="B16" s="267" t="s">
        <v>345</v>
      </c>
      <c r="C16" s="267" t="s">
        <v>346</v>
      </c>
      <c r="D16" s="267" t="s">
        <v>347</v>
      </c>
      <c r="H16" s="267"/>
      <c r="I16" s="267" t="s">
        <v>246</v>
      </c>
      <c r="J16" s="267" t="s">
        <v>106</v>
      </c>
    </row>
    <row r="17" spans="1:10" x14ac:dyDescent="0.3">
      <c r="A17" s="267">
        <v>308237</v>
      </c>
      <c r="B17" s="267" t="s">
        <v>348</v>
      </c>
      <c r="C17" s="267" t="s">
        <v>349</v>
      </c>
      <c r="D17" s="267" t="s">
        <v>350</v>
      </c>
      <c r="H17" s="267"/>
      <c r="I17" s="267" t="s">
        <v>246</v>
      </c>
      <c r="J17" s="267" t="s">
        <v>106</v>
      </c>
    </row>
    <row r="18" spans="1:10" x14ac:dyDescent="0.3">
      <c r="A18" s="267">
        <v>308669</v>
      </c>
      <c r="B18" s="267" t="s">
        <v>351</v>
      </c>
      <c r="C18" s="267" t="s">
        <v>337</v>
      </c>
      <c r="D18" s="267" t="s">
        <v>352</v>
      </c>
      <c r="H18" s="267"/>
      <c r="I18" s="267" t="s">
        <v>246</v>
      </c>
      <c r="J18" s="267" t="s">
        <v>106</v>
      </c>
    </row>
    <row r="19" spans="1:10" x14ac:dyDescent="0.3">
      <c r="A19" s="267">
        <v>311089</v>
      </c>
      <c r="B19" s="267" t="s">
        <v>353</v>
      </c>
      <c r="C19" s="267" t="s">
        <v>354</v>
      </c>
      <c r="D19" s="267" t="s">
        <v>355</v>
      </c>
      <c r="H19" s="267"/>
      <c r="I19" s="267" t="s">
        <v>246</v>
      </c>
      <c r="J19" s="267" t="s">
        <v>106</v>
      </c>
    </row>
    <row r="20" spans="1:10" x14ac:dyDescent="0.3">
      <c r="A20" s="267">
        <v>313627</v>
      </c>
      <c r="B20" s="267" t="s">
        <v>356</v>
      </c>
      <c r="C20" s="267" t="s">
        <v>202</v>
      </c>
      <c r="D20" s="267" t="s">
        <v>201</v>
      </c>
      <c r="H20" s="267"/>
      <c r="I20" s="267" t="s">
        <v>246</v>
      </c>
      <c r="J20" s="267" t="s">
        <v>106</v>
      </c>
    </row>
    <row r="21" spans="1:10" x14ac:dyDescent="0.3">
      <c r="A21" s="267">
        <v>321084</v>
      </c>
      <c r="B21" s="267" t="s">
        <v>357</v>
      </c>
      <c r="C21" s="267" t="s">
        <v>358</v>
      </c>
      <c r="H21" s="267"/>
      <c r="I21" s="267" t="s">
        <v>246</v>
      </c>
      <c r="J21" s="267" t="s">
        <v>106</v>
      </c>
    </row>
    <row r="22" spans="1:10" x14ac:dyDescent="0.3">
      <c r="A22" s="267">
        <v>322464</v>
      </c>
      <c r="B22" s="267" t="s">
        <v>359</v>
      </c>
      <c r="C22" s="267" t="s">
        <v>360</v>
      </c>
      <c r="D22" s="267" t="s">
        <v>361</v>
      </c>
      <c r="H22" s="267"/>
      <c r="I22" s="267" t="s">
        <v>246</v>
      </c>
      <c r="J22" s="267" t="s">
        <v>106</v>
      </c>
    </row>
    <row r="23" spans="1:10" x14ac:dyDescent="0.3">
      <c r="A23" s="267">
        <v>333708</v>
      </c>
      <c r="B23" s="267" t="s">
        <v>362</v>
      </c>
      <c r="C23" s="267" t="s">
        <v>363</v>
      </c>
      <c r="D23" s="267" t="s">
        <v>364</v>
      </c>
      <c r="H23" s="267"/>
      <c r="I23" s="267" t="s">
        <v>246</v>
      </c>
      <c r="J23" s="267" t="s">
        <v>106</v>
      </c>
    </row>
    <row r="24" spans="1:10" x14ac:dyDescent="0.3">
      <c r="A24" s="267">
        <v>306511</v>
      </c>
      <c r="B24" s="267" t="s">
        <v>365</v>
      </c>
      <c r="C24" s="267" t="s">
        <v>366</v>
      </c>
      <c r="D24" s="267" t="s">
        <v>367</v>
      </c>
      <c r="H24" s="267"/>
      <c r="I24" s="267" t="s">
        <v>251</v>
      </c>
      <c r="J24" s="267" t="s">
        <v>106</v>
      </c>
    </row>
    <row r="25" spans="1:10" ht="21" x14ac:dyDescent="0.4">
      <c r="A25" s="277">
        <v>323965</v>
      </c>
      <c r="B25" s="278" t="s">
        <v>369</v>
      </c>
      <c r="C25" s="283" t="s">
        <v>349</v>
      </c>
      <c r="D25" s="284"/>
      <c r="E25" s="276"/>
      <c r="H25" s="267"/>
      <c r="I25" s="267" t="s">
        <v>238</v>
      </c>
    </row>
    <row r="26" spans="1:10" ht="22.8" x14ac:dyDescent="0.3">
      <c r="A26" s="279">
        <v>318416</v>
      </c>
      <c r="B26" s="280" t="s">
        <v>370</v>
      </c>
      <c r="C26" s="285" t="s">
        <v>373</v>
      </c>
      <c r="D26" s="286" t="s">
        <v>374</v>
      </c>
      <c r="E26" s="276"/>
      <c r="H26" s="267"/>
      <c r="I26" s="267" t="s">
        <v>246</v>
      </c>
      <c r="J26" s="267" t="s">
        <v>106</v>
      </c>
    </row>
    <row r="27" spans="1:10" ht="22.8" x14ac:dyDescent="0.3">
      <c r="A27" s="279">
        <v>300208</v>
      </c>
      <c r="B27" s="281" t="s">
        <v>371</v>
      </c>
      <c r="C27" s="282" t="s">
        <v>375</v>
      </c>
      <c r="D27" s="287" t="s">
        <v>376</v>
      </c>
      <c r="E27" s="276"/>
      <c r="H27" s="267"/>
      <c r="I27" s="267" t="s">
        <v>251</v>
      </c>
      <c r="J27" s="267" t="s">
        <v>106</v>
      </c>
    </row>
    <row r="28" spans="1:10" ht="22.8" x14ac:dyDescent="0.3">
      <c r="A28" s="279">
        <v>315048</v>
      </c>
      <c r="B28" s="282" t="s">
        <v>372</v>
      </c>
      <c r="C28" s="282" t="s">
        <v>377</v>
      </c>
      <c r="D28" s="287" t="s">
        <v>378</v>
      </c>
      <c r="E28" s="276"/>
      <c r="H28" s="267"/>
      <c r="I28" s="267" t="s">
        <v>251</v>
      </c>
      <c r="J28" s="267" t="s">
        <v>106</v>
      </c>
    </row>
    <row r="29" spans="1:10" x14ac:dyDescent="0.3">
      <c r="H29" s="267"/>
    </row>
    <row r="30" spans="1:10" x14ac:dyDescent="0.3">
      <c r="H30" s="267"/>
    </row>
    <row r="31" spans="1:10" x14ac:dyDescent="0.3">
      <c r="H31" s="267"/>
    </row>
    <row r="32" spans="1:10" x14ac:dyDescent="0.3">
      <c r="H32" s="267"/>
    </row>
    <row r="33" spans="8:8" x14ac:dyDescent="0.3">
      <c r="H33" s="267"/>
    </row>
    <row r="34" spans="8:8" x14ac:dyDescent="0.3">
      <c r="H34" s="267"/>
    </row>
    <row r="35" spans="8:8" x14ac:dyDescent="0.3">
      <c r="H35" s="267"/>
    </row>
    <row r="36" spans="8:8" x14ac:dyDescent="0.3">
      <c r="H36" s="267"/>
    </row>
    <row r="37" spans="8:8" x14ac:dyDescent="0.3">
      <c r="H37" s="267"/>
    </row>
    <row r="38" spans="8:8" x14ac:dyDescent="0.3">
      <c r="H38" s="267"/>
    </row>
    <row r="39" spans="8:8" x14ac:dyDescent="0.3">
      <c r="H39" s="267"/>
    </row>
    <row r="40" spans="8:8" x14ac:dyDescent="0.3">
      <c r="H40" s="267"/>
    </row>
    <row r="41" spans="8:8" x14ac:dyDescent="0.3">
      <c r="H41" s="267"/>
    </row>
    <row r="42" spans="8:8" x14ac:dyDescent="0.3">
      <c r="H42" s="267"/>
    </row>
    <row r="43" spans="8:8" x14ac:dyDescent="0.3">
      <c r="H43" s="267"/>
    </row>
    <row r="44" spans="8:8" x14ac:dyDescent="0.3">
      <c r="H44" s="267"/>
    </row>
    <row r="45" spans="8:8" x14ac:dyDescent="0.3">
      <c r="H45" s="267"/>
    </row>
    <row r="46" spans="8:8" x14ac:dyDescent="0.3">
      <c r="H46" s="267"/>
    </row>
    <row r="47" spans="8:8" x14ac:dyDescent="0.3">
      <c r="H47" s="267"/>
    </row>
    <row r="48" spans="8:8" x14ac:dyDescent="0.3">
      <c r="H48" s="267"/>
    </row>
    <row r="49" spans="8:8" x14ac:dyDescent="0.3">
      <c r="H49" s="267"/>
    </row>
    <row r="50" spans="8:8" x14ac:dyDescent="0.3">
      <c r="H50" s="267"/>
    </row>
    <row r="51" spans="8:8" x14ac:dyDescent="0.3">
      <c r="H51" s="267"/>
    </row>
    <row r="52" spans="8:8" x14ac:dyDescent="0.3">
      <c r="H52" s="267"/>
    </row>
    <row r="53" spans="8:8" x14ac:dyDescent="0.3">
      <c r="H53" s="267"/>
    </row>
    <row r="54" spans="8:8" x14ac:dyDescent="0.3">
      <c r="H54" s="267"/>
    </row>
    <row r="55" spans="8:8" x14ac:dyDescent="0.3">
      <c r="H55" s="267"/>
    </row>
    <row r="56" spans="8:8" x14ac:dyDescent="0.3">
      <c r="H56" s="267"/>
    </row>
    <row r="57" spans="8:8" x14ac:dyDescent="0.3">
      <c r="H57" s="267"/>
    </row>
    <row r="58" spans="8:8" x14ac:dyDescent="0.3">
      <c r="H58" s="267"/>
    </row>
    <row r="59" spans="8:8" x14ac:dyDescent="0.3">
      <c r="H59" s="267"/>
    </row>
    <row r="60" spans="8:8" x14ac:dyDescent="0.3">
      <c r="H60" s="267"/>
    </row>
    <row r="61" spans="8:8" x14ac:dyDescent="0.3">
      <c r="H61" s="267"/>
    </row>
    <row r="62" spans="8:8" x14ac:dyDescent="0.3">
      <c r="H62" s="267"/>
    </row>
    <row r="64" spans="8:8" x14ac:dyDescent="0.3">
      <c r="H64" s="267"/>
    </row>
    <row r="65" spans="8:8" x14ac:dyDescent="0.3">
      <c r="H65" s="267"/>
    </row>
    <row r="66" spans="8:8" x14ac:dyDescent="0.3">
      <c r="H66" s="267"/>
    </row>
    <row r="67" spans="8:8" x14ac:dyDescent="0.3">
      <c r="H67" s="267"/>
    </row>
    <row r="68" spans="8:8" x14ac:dyDescent="0.3">
      <c r="H68" s="267"/>
    </row>
    <row r="69" spans="8:8" x14ac:dyDescent="0.3">
      <c r="H69" s="267"/>
    </row>
    <row r="70" spans="8:8" x14ac:dyDescent="0.3">
      <c r="H70" s="267"/>
    </row>
    <row r="71" spans="8:8" x14ac:dyDescent="0.3">
      <c r="H71" s="267"/>
    </row>
    <row r="72" spans="8:8" x14ac:dyDescent="0.3">
      <c r="H72" s="267"/>
    </row>
    <row r="73" spans="8:8" x14ac:dyDescent="0.3">
      <c r="H73" s="267"/>
    </row>
    <row r="74" spans="8:8" x14ac:dyDescent="0.3">
      <c r="H74" s="267"/>
    </row>
    <row r="75" spans="8:8" x14ac:dyDescent="0.3">
      <c r="H75" s="267"/>
    </row>
    <row r="76" spans="8:8" x14ac:dyDescent="0.3">
      <c r="H76" s="267"/>
    </row>
    <row r="78" spans="8:8" x14ac:dyDescent="0.3">
      <c r="H78" s="267"/>
    </row>
    <row r="79" spans="8:8" x14ac:dyDescent="0.3">
      <c r="H79" s="267"/>
    </row>
    <row r="80" spans="8:8" x14ac:dyDescent="0.3">
      <c r="H80" s="267"/>
    </row>
    <row r="81" s="267" customFormat="1" x14ac:dyDescent="0.3"/>
    <row r="82" s="267" customFormat="1" x14ac:dyDescent="0.3"/>
    <row r="83" s="267" customFormat="1" x14ac:dyDescent="0.3"/>
    <row r="84" s="267" customFormat="1" x14ac:dyDescent="0.3"/>
    <row r="85" s="267" customFormat="1" x14ac:dyDescent="0.3"/>
    <row r="86" s="267" customFormat="1" x14ac:dyDescent="0.3"/>
    <row r="87" s="267" customFormat="1" x14ac:dyDescent="0.3"/>
    <row r="88" s="267" customFormat="1" x14ac:dyDescent="0.3"/>
    <row r="89" s="267" customFormat="1" x14ac:dyDescent="0.3"/>
    <row r="90" s="267" customFormat="1" x14ac:dyDescent="0.3"/>
    <row r="91" s="267" customFormat="1" x14ac:dyDescent="0.3"/>
    <row r="92" s="267" customFormat="1" x14ac:dyDescent="0.3"/>
    <row r="93" s="267" customFormat="1" x14ac:dyDescent="0.3"/>
    <row r="94" s="267" customFormat="1" x14ac:dyDescent="0.3"/>
    <row r="95" s="267" customFormat="1" x14ac:dyDescent="0.3"/>
    <row r="96" s="267" customFormat="1" x14ac:dyDescent="0.3"/>
    <row r="97" s="267" customFormat="1" x14ac:dyDescent="0.3"/>
    <row r="98" s="267" customFormat="1" x14ac:dyDescent="0.3"/>
    <row r="99" s="267" customFormat="1" x14ac:dyDescent="0.3"/>
    <row r="100" s="267" customFormat="1" x14ac:dyDescent="0.3"/>
    <row r="101" s="267" customFormat="1" x14ac:dyDescent="0.3"/>
    <row r="102" s="267" customFormat="1" x14ac:dyDescent="0.3"/>
    <row r="103" s="267" customFormat="1" x14ac:dyDescent="0.3"/>
    <row r="104" s="267" customFormat="1" x14ac:dyDescent="0.3"/>
    <row r="105" s="267" customFormat="1" x14ac:dyDescent="0.3"/>
    <row r="106" s="267" customFormat="1" x14ac:dyDescent="0.3"/>
    <row r="107" s="267" customFormat="1" x14ac:dyDescent="0.3"/>
    <row r="108" s="267" customFormat="1" x14ac:dyDescent="0.3"/>
    <row r="109" s="267" customFormat="1" x14ac:dyDescent="0.3"/>
    <row r="110" s="267" customFormat="1" x14ac:dyDescent="0.3"/>
    <row r="111" s="267" customFormat="1" x14ac:dyDescent="0.3"/>
    <row r="113" s="267" customFormat="1" x14ac:dyDescent="0.3"/>
    <row r="114" s="267" customFormat="1" x14ac:dyDescent="0.3"/>
    <row r="115" s="267" customFormat="1" x14ac:dyDescent="0.3"/>
    <row r="116" s="267" customFormat="1" x14ac:dyDescent="0.3"/>
    <row r="117" s="267" customFormat="1" x14ac:dyDescent="0.3"/>
    <row r="118" s="267" customFormat="1" x14ac:dyDescent="0.3"/>
    <row r="119" s="267" customFormat="1" x14ac:dyDescent="0.3"/>
    <row r="120" s="267" customFormat="1" x14ac:dyDescent="0.3"/>
    <row r="121" s="267" customFormat="1" x14ac:dyDescent="0.3"/>
    <row r="122" s="267" customFormat="1" x14ac:dyDescent="0.3"/>
    <row r="123" s="267" customFormat="1" x14ac:dyDescent="0.3"/>
    <row r="124" s="267" customFormat="1" x14ac:dyDescent="0.3"/>
    <row r="125" s="267" customFormat="1" x14ac:dyDescent="0.3"/>
    <row r="126" s="267" customFormat="1" x14ac:dyDescent="0.3"/>
    <row r="127" s="267" customFormat="1" x14ac:dyDescent="0.3"/>
    <row r="128" s="267" customFormat="1" x14ac:dyDescent="0.3"/>
    <row r="129" s="267" customFormat="1" x14ac:dyDescent="0.3"/>
    <row r="130" s="267" customFormat="1" x14ac:dyDescent="0.3"/>
    <row r="131" s="267" customFormat="1" x14ac:dyDescent="0.3"/>
    <row r="132" s="267" customFormat="1" x14ac:dyDescent="0.3"/>
    <row r="133" s="267" customFormat="1" x14ac:dyDescent="0.3"/>
    <row r="134" s="267" customFormat="1" x14ac:dyDescent="0.3"/>
    <row r="135" s="267" customFormat="1" x14ac:dyDescent="0.3"/>
    <row r="136" s="267" customFormat="1" x14ac:dyDescent="0.3"/>
    <row r="137" s="267" customFormat="1" x14ac:dyDescent="0.3"/>
    <row r="138" s="267" customFormat="1" x14ac:dyDescent="0.3"/>
    <row r="139" s="267" customFormat="1" x14ac:dyDescent="0.3"/>
    <row r="140" s="267" customFormat="1" x14ac:dyDescent="0.3"/>
    <row r="141" s="267" customFormat="1" x14ac:dyDescent="0.3"/>
    <row r="142" s="267" customFormat="1" x14ac:dyDescent="0.3"/>
    <row r="143" s="267" customFormat="1" x14ac:dyDescent="0.3"/>
    <row r="144" s="267" customFormat="1" x14ac:dyDescent="0.3"/>
    <row r="145" s="267" customFormat="1" x14ac:dyDescent="0.3"/>
    <row r="146" s="267" customFormat="1" x14ac:dyDescent="0.3"/>
    <row r="147" s="267" customFormat="1" x14ac:dyDescent="0.3"/>
    <row r="148" s="267" customFormat="1" x14ac:dyDescent="0.3"/>
    <row r="149" s="267" customFormat="1" x14ac:dyDescent="0.3"/>
    <row r="150" s="267" customFormat="1" x14ac:dyDescent="0.3"/>
    <row r="151" s="267" customFormat="1" x14ac:dyDescent="0.3"/>
    <row r="152" s="267" customFormat="1" x14ac:dyDescent="0.3"/>
    <row r="153" s="267" customFormat="1" x14ac:dyDescent="0.3"/>
    <row r="154" s="267" customFormat="1" x14ac:dyDescent="0.3"/>
    <row r="155" s="267" customFormat="1" x14ac:dyDescent="0.3"/>
    <row r="156" s="267" customFormat="1" x14ac:dyDescent="0.3"/>
    <row r="157" s="267" customFormat="1" x14ac:dyDescent="0.3"/>
    <row r="158" s="267" customFormat="1" x14ac:dyDescent="0.3"/>
    <row r="159" s="267" customFormat="1" x14ac:dyDescent="0.3"/>
    <row r="160" s="267" customFormat="1" x14ac:dyDescent="0.3"/>
    <row r="161" s="267" customFormat="1" x14ac:dyDescent="0.3"/>
    <row r="162" s="267" customFormat="1" x14ac:dyDescent="0.3"/>
    <row r="163" s="267" customFormat="1" x14ac:dyDescent="0.3"/>
    <row r="164" s="267" customFormat="1" x14ac:dyDescent="0.3"/>
    <row r="165" s="267" customFormat="1" x14ac:dyDescent="0.3"/>
    <row r="166" s="267" customFormat="1" x14ac:dyDescent="0.3"/>
    <row r="167" s="267" customFormat="1" x14ac:dyDescent="0.3"/>
    <row r="168" s="267" customFormat="1" x14ac:dyDescent="0.3"/>
    <row r="170" s="267" customFormat="1" x14ac:dyDescent="0.3"/>
    <row r="172" s="267" customFormat="1" x14ac:dyDescent="0.3"/>
    <row r="173" s="267" customFormat="1" x14ac:dyDescent="0.3"/>
    <row r="174" s="267" customFormat="1" x14ac:dyDescent="0.3"/>
    <row r="175" s="267" customFormat="1" x14ac:dyDescent="0.3"/>
    <row r="176" s="267" customFormat="1" x14ac:dyDescent="0.3"/>
    <row r="177" s="267" customFormat="1" x14ac:dyDescent="0.3"/>
    <row r="178" s="267" customFormat="1" x14ac:dyDescent="0.3"/>
    <row r="179" s="267" customFormat="1" x14ac:dyDescent="0.3"/>
    <row r="180" s="267" customFormat="1" x14ac:dyDescent="0.3"/>
    <row r="181" s="267" customFormat="1" x14ac:dyDescent="0.3"/>
    <row r="182" s="267" customFormat="1" x14ac:dyDescent="0.3"/>
    <row r="183" s="267" customFormat="1" x14ac:dyDescent="0.3"/>
    <row r="184" s="267" customFormat="1" x14ac:dyDescent="0.3"/>
    <row r="185" s="267" customFormat="1" x14ac:dyDescent="0.3"/>
    <row r="186" s="267" customFormat="1" x14ac:dyDescent="0.3"/>
    <row r="187" s="267" customFormat="1" x14ac:dyDescent="0.3"/>
    <row r="188" s="267" customFormat="1" x14ac:dyDescent="0.3"/>
    <row r="189" s="267" customFormat="1" x14ac:dyDescent="0.3"/>
    <row r="190" s="267" customFormat="1" x14ac:dyDescent="0.3"/>
    <row r="191" s="267" customFormat="1" x14ac:dyDescent="0.3"/>
    <row r="192" s="267" customFormat="1" x14ac:dyDescent="0.3"/>
    <row r="193" s="267" customFormat="1" x14ac:dyDescent="0.3"/>
    <row r="194" s="267" customFormat="1" x14ac:dyDescent="0.3"/>
    <row r="195" s="267" customFormat="1" x14ac:dyDescent="0.3"/>
    <row r="196" s="267" customFormat="1" x14ac:dyDescent="0.3"/>
    <row r="197" s="267" customFormat="1" x14ac:dyDescent="0.3"/>
    <row r="198" s="267" customFormat="1" x14ac:dyDescent="0.3"/>
    <row r="199" s="267" customFormat="1" x14ac:dyDescent="0.3"/>
    <row r="200" s="267" customFormat="1" x14ac:dyDescent="0.3"/>
    <row r="201" s="267" customFormat="1" x14ac:dyDescent="0.3"/>
    <row r="202" s="267" customFormat="1" x14ac:dyDescent="0.3"/>
    <row r="203" s="267" customFormat="1" x14ac:dyDescent="0.3"/>
    <row r="204" s="267" customFormat="1" x14ac:dyDescent="0.3"/>
    <row r="205" s="267" customFormat="1" x14ac:dyDescent="0.3"/>
    <row r="206" s="267" customFormat="1" x14ac:dyDescent="0.3"/>
    <row r="207" s="267" customFormat="1" x14ac:dyDescent="0.3"/>
    <row r="208" s="267" customFormat="1" x14ac:dyDescent="0.3"/>
    <row r="209" s="267" customFormat="1" x14ac:dyDescent="0.3"/>
    <row r="210" s="267" customFormat="1" x14ac:dyDescent="0.3"/>
    <row r="211" s="267" customFormat="1" x14ac:dyDescent="0.3"/>
    <row r="212" s="267" customFormat="1" x14ac:dyDescent="0.3"/>
    <row r="213" s="267" customFormat="1" x14ac:dyDescent="0.3"/>
    <row r="214" s="267" customFormat="1" x14ac:dyDescent="0.3"/>
    <row r="215" s="267" customFormat="1" x14ac:dyDescent="0.3"/>
    <row r="216" s="267" customFormat="1" x14ac:dyDescent="0.3"/>
    <row r="217" s="267" customFormat="1" x14ac:dyDescent="0.3"/>
    <row r="218" s="267" customFormat="1" x14ac:dyDescent="0.3"/>
    <row r="219" s="267" customFormat="1" x14ac:dyDescent="0.3"/>
    <row r="220" s="267" customFormat="1" x14ac:dyDescent="0.3"/>
    <row r="221" s="267" customFormat="1" x14ac:dyDescent="0.3"/>
    <row r="223" s="267" customFormat="1" x14ac:dyDescent="0.3"/>
    <row r="224" s="267" customFormat="1" x14ac:dyDescent="0.3"/>
    <row r="225" s="267" customFormat="1" x14ac:dyDescent="0.3"/>
    <row r="226" s="267" customFormat="1" x14ac:dyDescent="0.3"/>
    <row r="227" s="267" customFormat="1" x14ac:dyDescent="0.3"/>
    <row r="228" s="267" customFormat="1" x14ac:dyDescent="0.3"/>
    <row r="229" s="267" customFormat="1" x14ac:dyDescent="0.3"/>
    <row r="230" s="267" customFormat="1" x14ac:dyDescent="0.3"/>
    <row r="231" s="267" customFormat="1" x14ac:dyDescent="0.3"/>
    <row r="232" s="267" customFormat="1" x14ac:dyDescent="0.3"/>
    <row r="233" s="267" customFormat="1" x14ac:dyDescent="0.3"/>
    <row r="234" s="267" customFormat="1" x14ac:dyDescent="0.3"/>
    <row r="235" s="267" customFormat="1" x14ac:dyDescent="0.3"/>
    <row r="236" s="267" customFormat="1" x14ac:dyDescent="0.3"/>
    <row r="237" s="267" customFormat="1" x14ac:dyDescent="0.3"/>
    <row r="238" s="267" customFormat="1" x14ac:dyDescent="0.3"/>
    <row r="239" s="267" customFormat="1" x14ac:dyDescent="0.3"/>
    <row r="240" s="267" customFormat="1" x14ac:dyDescent="0.3"/>
    <row r="241" s="267" customFormat="1" x14ac:dyDescent="0.3"/>
    <row r="242" s="267" customFormat="1" x14ac:dyDescent="0.3"/>
    <row r="243" s="267" customFormat="1" x14ac:dyDescent="0.3"/>
    <row r="244" s="267" customFormat="1" x14ac:dyDescent="0.3"/>
    <row r="245" s="267" customFormat="1" x14ac:dyDescent="0.3"/>
    <row r="246" s="267" customFormat="1" x14ac:dyDescent="0.3"/>
    <row r="247" s="267" customFormat="1" x14ac:dyDescent="0.3"/>
    <row r="248" s="267" customFormat="1" x14ac:dyDescent="0.3"/>
    <row r="249" s="267" customFormat="1" x14ac:dyDescent="0.3"/>
    <row r="250" s="267" customFormat="1" x14ac:dyDescent="0.3"/>
    <row r="251" s="267" customFormat="1" x14ac:dyDescent="0.3"/>
    <row r="252" s="267" customFormat="1" x14ac:dyDescent="0.3"/>
    <row r="253" s="267" customFormat="1" x14ac:dyDescent="0.3"/>
    <row r="254" s="267" customFormat="1" x14ac:dyDescent="0.3"/>
    <row r="255" s="267" customFormat="1" x14ac:dyDescent="0.3"/>
    <row r="256" s="267" customFormat="1" x14ac:dyDescent="0.3"/>
    <row r="257" s="267" customFormat="1" x14ac:dyDescent="0.3"/>
    <row r="258" s="267" customFormat="1" x14ac:dyDescent="0.3"/>
    <row r="259" s="267" customFormat="1" x14ac:dyDescent="0.3"/>
    <row r="260" s="267" customFormat="1" x14ac:dyDescent="0.3"/>
    <row r="261" s="267" customFormat="1" x14ac:dyDescent="0.3"/>
    <row r="262" s="267" customFormat="1" x14ac:dyDescent="0.3"/>
    <row r="263" s="267" customFormat="1" x14ac:dyDescent="0.3"/>
    <row r="264" s="267" customFormat="1" x14ac:dyDescent="0.3"/>
    <row r="265" s="267" customFormat="1" x14ac:dyDescent="0.3"/>
    <row r="266" s="267" customFormat="1" x14ac:dyDescent="0.3"/>
    <row r="267" s="267" customFormat="1" x14ac:dyDescent="0.3"/>
    <row r="268" s="267" customFormat="1" x14ac:dyDescent="0.3"/>
    <row r="269" s="267" customFormat="1" x14ac:dyDescent="0.3"/>
    <row r="270" s="267" customFormat="1" x14ac:dyDescent="0.3"/>
    <row r="271" s="267" customFormat="1" x14ac:dyDescent="0.3"/>
    <row r="272" s="267" customFormat="1" x14ac:dyDescent="0.3"/>
    <row r="273" s="267" customFormat="1" x14ac:dyDescent="0.3"/>
    <row r="274" s="267" customFormat="1" x14ac:dyDescent="0.3"/>
    <row r="275" s="267" customFormat="1" x14ac:dyDescent="0.3"/>
    <row r="276" s="267" customFormat="1" x14ac:dyDescent="0.3"/>
    <row r="277" s="267" customFormat="1" x14ac:dyDescent="0.3"/>
    <row r="278" s="267" customFormat="1" x14ac:dyDescent="0.3"/>
    <row r="279" s="267" customFormat="1" x14ac:dyDescent="0.3"/>
    <row r="280" s="267" customFormat="1" x14ac:dyDescent="0.3"/>
    <row r="281" s="267" customFormat="1" x14ac:dyDescent="0.3"/>
    <row r="282" s="267" customFormat="1" x14ac:dyDescent="0.3"/>
    <row r="283" s="267" customFormat="1" x14ac:dyDescent="0.3"/>
    <row r="284" s="267" customFormat="1" x14ac:dyDescent="0.3"/>
    <row r="285" s="267" customFormat="1" x14ac:dyDescent="0.3"/>
    <row r="286" s="267" customFormat="1" x14ac:dyDescent="0.3"/>
    <row r="287" s="267" customFormat="1" x14ac:dyDescent="0.3"/>
    <row r="288" s="267" customFormat="1" x14ac:dyDescent="0.3"/>
    <row r="289" s="267" customFormat="1" x14ac:dyDescent="0.3"/>
    <row r="290" s="267" customFormat="1" x14ac:dyDescent="0.3"/>
    <row r="291" s="267" customFormat="1" x14ac:dyDescent="0.3"/>
    <row r="292" s="267" customFormat="1" x14ac:dyDescent="0.3"/>
    <row r="293" s="267" customFormat="1" x14ac:dyDescent="0.3"/>
    <row r="294" s="267" customFormat="1" x14ac:dyDescent="0.3"/>
    <row r="295" s="267" customFormat="1" x14ac:dyDescent="0.3"/>
    <row r="296" s="267" customFormat="1" x14ac:dyDescent="0.3"/>
    <row r="297" s="267" customFormat="1" x14ac:dyDescent="0.3"/>
    <row r="298" s="267" customFormat="1" x14ac:dyDescent="0.3"/>
    <row r="299" s="267" customFormat="1" x14ac:dyDescent="0.3"/>
    <row r="300" s="267" customFormat="1" x14ac:dyDescent="0.3"/>
    <row r="301" s="267" customFormat="1" x14ac:dyDescent="0.3"/>
    <row r="302" s="267" customFormat="1" x14ac:dyDescent="0.3"/>
    <row r="303" s="267" customFormat="1" x14ac:dyDescent="0.3"/>
    <row r="304" s="267" customFormat="1" x14ac:dyDescent="0.3"/>
    <row r="305" s="267" customFormat="1" x14ac:dyDescent="0.3"/>
    <row r="306" s="267" customFormat="1" x14ac:dyDescent="0.3"/>
    <row r="307" s="267" customFormat="1" x14ac:dyDescent="0.3"/>
    <row r="308" s="267" customFormat="1" x14ac:dyDescent="0.3"/>
    <row r="309" s="267" customFormat="1" x14ac:dyDescent="0.3"/>
    <row r="310" s="267" customFormat="1" x14ac:dyDescent="0.3"/>
    <row r="311" s="267" customFormat="1" x14ac:dyDescent="0.3"/>
    <row r="312" s="267" customFormat="1" x14ac:dyDescent="0.3"/>
    <row r="313" s="267" customFormat="1" x14ac:dyDescent="0.3"/>
    <row r="314" s="267" customFormat="1" x14ac:dyDescent="0.3"/>
    <row r="315" s="267" customFormat="1" x14ac:dyDescent="0.3"/>
    <row r="317" s="267" customFormat="1" x14ac:dyDescent="0.3"/>
    <row r="318" s="267" customFormat="1" x14ac:dyDescent="0.3"/>
    <row r="319" s="267" customFormat="1" x14ac:dyDescent="0.3"/>
    <row r="320" s="267" customFormat="1" x14ac:dyDescent="0.3"/>
    <row r="321" s="267" customFormat="1" x14ac:dyDescent="0.3"/>
    <row r="322" s="267" customFormat="1" x14ac:dyDescent="0.3"/>
    <row r="323" s="267" customFormat="1" x14ac:dyDescent="0.3"/>
    <row r="324" s="267" customFormat="1" x14ac:dyDescent="0.3"/>
    <row r="325" s="267" customFormat="1" x14ac:dyDescent="0.3"/>
    <row r="326" s="267" customFormat="1" x14ac:dyDescent="0.3"/>
    <row r="327" s="267" customFormat="1" x14ac:dyDescent="0.3"/>
    <row r="328" s="267" customFormat="1" x14ac:dyDescent="0.3"/>
    <row r="329" s="267" customFormat="1" x14ac:dyDescent="0.3"/>
    <row r="330" s="267" customFormat="1" x14ac:dyDescent="0.3"/>
    <row r="331" s="267" customFormat="1" x14ac:dyDescent="0.3"/>
    <row r="332" s="267" customFormat="1" x14ac:dyDescent="0.3"/>
    <row r="333" s="267" customFormat="1" x14ac:dyDescent="0.3"/>
    <row r="334" s="267" customFormat="1" x14ac:dyDescent="0.3"/>
    <row r="335" s="267" customFormat="1" x14ac:dyDescent="0.3"/>
    <row r="336" s="267" customFormat="1" x14ac:dyDescent="0.3"/>
    <row r="337" s="267" customFormat="1" x14ac:dyDescent="0.3"/>
    <row r="338" s="267" customFormat="1" x14ac:dyDescent="0.3"/>
    <row r="339" s="267" customFormat="1" x14ac:dyDescent="0.3"/>
    <row r="340" s="267" customFormat="1" x14ac:dyDescent="0.3"/>
    <row r="341" s="267" customFormat="1" x14ac:dyDescent="0.3"/>
    <row r="342" s="267" customFormat="1" x14ac:dyDescent="0.3"/>
    <row r="343" s="267" customFormat="1" x14ac:dyDescent="0.3"/>
    <row r="344" s="267" customFormat="1" x14ac:dyDescent="0.3"/>
    <row r="345" s="267" customFormat="1" x14ac:dyDescent="0.3"/>
    <row r="346" s="267" customFormat="1" x14ac:dyDescent="0.3"/>
    <row r="347" s="267" customFormat="1" x14ac:dyDescent="0.3"/>
    <row r="348" s="267" customFormat="1" x14ac:dyDescent="0.3"/>
    <row r="349" s="267" customFormat="1" x14ac:dyDescent="0.3"/>
    <row r="350" s="267" customFormat="1" x14ac:dyDescent="0.3"/>
    <row r="351" s="267" customFormat="1" x14ac:dyDescent="0.3"/>
    <row r="352" s="267" customFormat="1" x14ac:dyDescent="0.3"/>
    <row r="353" s="267" customFormat="1" x14ac:dyDescent="0.3"/>
    <row r="354" s="267" customFormat="1" x14ac:dyDescent="0.3"/>
    <row r="355" s="267" customFormat="1" x14ac:dyDescent="0.3"/>
    <row r="356" s="267" customFormat="1" x14ac:dyDescent="0.3"/>
    <row r="357" s="267" customFormat="1" x14ac:dyDescent="0.3"/>
    <row r="358" s="267" customFormat="1" x14ac:dyDescent="0.3"/>
    <row r="359" s="267" customFormat="1" x14ac:dyDescent="0.3"/>
    <row r="360" s="267" customFormat="1" x14ac:dyDescent="0.3"/>
    <row r="361" s="267" customFormat="1" x14ac:dyDescent="0.3"/>
    <row r="362" s="267" customFormat="1" x14ac:dyDescent="0.3"/>
    <row r="363" s="267" customFormat="1" x14ac:dyDescent="0.3"/>
    <row r="364" s="267" customFormat="1" x14ac:dyDescent="0.3"/>
    <row r="365" s="267" customFormat="1" x14ac:dyDescent="0.3"/>
    <row r="366" s="267" customFormat="1" x14ac:dyDescent="0.3"/>
    <row r="367" s="267" customFormat="1" x14ac:dyDescent="0.3"/>
    <row r="368" s="267" customFormat="1" x14ac:dyDescent="0.3"/>
    <row r="369" s="267" customFormat="1" x14ac:dyDescent="0.3"/>
    <row r="370" s="267" customFormat="1" x14ac:dyDescent="0.3"/>
    <row r="371" s="267" customFormat="1" x14ac:dyDescent="0.3"/>
    <row r="372" s="267" customFormat="1" x14ac:dyDescent="0.3"/>
    <row r="373" s="267" customFormat="1" x14ac:dyDescent="0.3"/>
    <row r="374" s="267" customFormat="1" x14ac:dyDescent="0.3"/>
    <row r="375" s="267" customFormat="1" x14ac:dyDescent="0.3"/>
    <row r="376" s="267" customFormat="1" x14ac:dyDescent="0.3"/>
    <row r="377" s="267" customFormat="1" x14ac:dyDescent="0.3"/>
    <row r="378" s="267" customFormat="1" x14ac:dyDescent="0.3"/>
    <row r="379" s="267" customFormat="1" x14ac:dyDescent="0.3"/>
    <row r="380" s="267" customFormat="1" x14ac:dyDescent="0.3"/>
    <row r="381" s="267" customFormat="1" x14ac:dyDescent="0.3"/>
    <row r="382" s="267" customFormat="1" x14ac:dyDescent="0.3"/>
    <row r="383" s="267" customFormat="1" x14ac:dyDescent="0.3"/>
    <row r="384" s="267" customFormat="1" x14ac:dyDescent="0.3"/>
    <row r="385" s="267" customFormat="1" x14ac:dyDescent="0.3"/>
    <row r="386" s="267" customFormat="1" x14ac:dyDescent="0.3"/>
    <row r="387" s="267" customFormat="1" x14ac:dyDescent="0.3"/>
    <row r="388" s="267" customFormat="1" x14ac:dyDescent="0.3"/>
    <row r="389" s="267" customFormat="1" x14ac:dyDescent="0.3"/>
    <row r="390" s="267" customFormat="1" x14ac:dyDescent="0.3"/>
    <row r="391" s="267" customFormat="1" x14ac:dyDescent="0.3"/>
    <row r="392" s="267" customFormat="1" x14ac:dyDescent="0.3"/>
    <row r="393" s="267" customFormat="1" x14ac:dyDescent="0.3"/>
    <row r="394" s="267" customFormat="1" x14ac:dyDescent="0.3"/>
    <row r="395" s="267" customFormat="1" x14ac:dyDescent="0.3"/>
    <row r="396" s="267" customFormat="1" x14ac:dyDescent="0.3"/>
    <row r="397" s="267" customFormat="1" x14ac:dyDescent="0.3"/>
    <row r="398" s="267" customFormat="1" x14ac:dyDescent="0.3"/>
    <row r="399" s="267" customFormat="1" x14ac:dyDescent="0.3"/>
    <row r="400" s="267" customFormat="1" x14ac:dyDescent="0.3"/>
    <row r="401" s="267" customFormat="1" x14ac:dyDescent="0.3"/>
    <row r="402" s="267" customFormat="1" x14ac:dyDescent="0.3"/>
    <row r="403" s="267" customFormat="1" x14ac:dyDescent="0.3"/>
    <row r="404" s="267" customFormat="1" x14ac:dyDescent="0.3"/>
    <row r="405" s="267" customFormat="1" x14ac:dyDescent="0.3"/>
    <row r="406" s="267" customFormat="1" x14ac:dyDescent="0.3"/>
    <row r="407" s="267" customFormat="1" x14ac:dyDescent="0.3"/>
    <row r="408" s="267" customFormat="1" x14ac:dyDescent="0.3"/>
    <row r="409" s="267" customFormat="1" x14ac:dyDescent="0.3"/>
    <row r="410" s="267" customFormat="1" x14ac:dyDescent="0.3"/>
    <row r="411" s="267" customFormat="1" x14ac:dyDescent="0.3"/>
    <row r="412" s="267" customFormat="1" x14ac:dyDescent="0.3"/>
    <row r="413" s="267" customFormat="1" x14ac:dyDescent="0.3"/>
    <row r="414" s="267" customFormat="1" x14ac:dyDescent="0.3"/>
    <row r="415" s="267" customFormat="1" x14ac:dyDescent="0.3"/>
    <row r="416" s="267" customFormat="1" x14ac:dyDescent="0.3"/>
    <row r="417" s="267" customFormat="1" x14ac:dyDescent="0.3"/>
    <row r="418" s="267" customFormat="1" x14ac:dyDescent="0.3"/>
    <row r="419" s="267" customFormat="1" x14ac:dyDescent="0.3"/>
    <row r="420" s="267" customFormat="1" x14ac:dyDescent="0.3"/>
    <row r="421" s="267" customFormat="1" x14ac:dyDescent="0.3"/>
    <row r="422" s="267" customFormat="1" x14ac:dyDescent="0.3"/>
    <row r="423" s="267" customFormat="1" x14ac:dyDescent="0.3"/>
    <row r="424" s="267" customFormat="1" x14ac:dyDescent="0.3"/>
    <row r="425" s="267" customFormat="1" x14ac:dyDescent="0.3"/>
    <row r="426" s="267" customFormat="1" x14ac:dyDescent="0.3"/>
    <row r="427" s="267" customFormat="1" x14ac:dyDescent="0.3"/>
    <row r="428" s="267" customFormat="1" x14ac:dyDescent="0.3"/>
    <row r="429" s="267" customFormat="1" x14ac:dyDescent="0.3"/>
    <row r="430" s="267" customFormat="1" x14ac:dyDescent="0.3"/>
    <row r="431" s="267" customFormat="1" x14ac:dyDescent="0.3"/>
    <row r="432" s="267" customFormat="1" x14ac:dyDescent="0.3"/>
    <row r="433" s="267" customFormat="1" x14ac:dyDescent="0.3"/>
    <row r="434" s="267" customFormat="1" x14ac:dyDescent="0.3"/>
    <row r="435" s="267" customFormat="1" x14ac:dyDescent="0.3"/>
    <row r="436" s="267" customFormat="1" x14ac:dyDescent="0.3"/>
    <row r="437" s="267" customFormat="1" x14ac:dyDescent="0.3"/>
    <row r="438" s="267" customFormat="1" x14ac:dyDescent="0.3"/>
    <row r="439" s="267" customFormat="1" x14ac:dyDescent="0.3"/>
    <row r="440" s="267" customFormat="1" x14ac:dyDescent="0.3"/>
    <row r="442" s="267" customFormat="1" x14ac:dyDescent="0.3"/>
    <row r="443" s="267" customFormat="1" x14ac:dyDescent="0.3"/>
    <row r="444" s="267" customFormat="1" x14ac:dyDescent="0.3"/>
    <row r="445" s="267" customFormat="1" x14ac:dyDescent="0.3"/>
    <row r="446" s="267" customFormat="1" x14ac:dyDescent="0.3"/>
    <row r="447" s="267" customFormat="1" x14ac:dyDescent="0.3"/>
    <row r="448" s="267" customFormat="1" x14ac:dyDescent="0.3"/>
    <row r="449" s="267" customFormat="1" x14ac:dyDescent="0.3"/>
    <row r="450" s="267" customFormat="1" x14ac:dyDescent="0.3"/>
    <row r="451" s="267" customFormat="1" x14ac:dyDescent="0.3"/>
    <row r="452" s="267" customFormat="1" x14ac:dyDescent="0.3"/>
    <row r="453" s="267" customFormat="1" x14ac:dyDescent="0.3"/>
    <row r="454" s="267" customFormat="1" x14ac:dyDescent="0.3"/>
    <row r="455" s="267" customFormat="1" x14ac:dyDescent="0.3"/>
    <row r="456" s="267" customFormat="1" x14ac:dyDescent="0.3"/>
    <row r="457" s="267" customFormat="1" x14ac:dyDescent="0.3"/>
    <row r="458" s="267" customFormat="1" x14ac:dyDescent="0.3"/>
    <row r="459" s="267" customFormat="1" x14ac:dyDescent="0.3"/>
    <row r="460" s="267" customFormat="1" x14ac:dyDescent="0.3"/>
    <row r="461" s="267" customFormat="1" x14ac:dyDescent="0.3"/>
    <row r="462" s="267" customFormat="1" x14ac:dyDescent="0.3"/>
    <row r="463" s="267" customFormat="1" x14ac:dyDescent="0.3"/>
    <row r="464" s="267" customFormat="1" x14ac:dyDescent="0.3"/>
    <row r="466" s="267" customFormat="1" x14ac:dyDescent="0.3"/>
    <row r="467" s="267" customFormat="1" x14ac:dyDescent="0.3"/>
    <row r="468" s="267" customFormat="1" x14ac:dyDescent="0.3"/>
    <row r="469" s="267" customFormat="1" x14ac:dyDescent="0.3"/>
    <row r="470" s="267" customFormat="1" x14ac:dyDescent="0.3"/>
    <row r="471" s="267" customFormat="1" x14ac:dyDescent="0.3"/>
    <row r="472" s="267" customFormat="1" x14ac:dyDescent="0.3"/>
    <row r="473" s="267" customFormat="1" x14ac:dyDescent="0.3"/>
    <row r="474" s="267" customFormat="1" x14ac:dyDescent="0.3"/>
    <row r="475" s="267" customFormat="1" x14ac:dyDescent="0.3"/>
    <row r="476" s="267" customFormat="1" x14ac:dyDescent="0.3"/>
    <row r="477" s="267" customFormat="1" x14ac:dyDescent="0.3"/>
    <row r="478" s="267" customFormat="1" x14ac:dyDescent="0.3"/>
    <row r="479" s="267" customFormat="1" x14ac:dyDescent="0.3"/>
    <row r="480" s="267" customFormat="1" x14ac:dyDescent="0.3"/>
    <row r="481" s="267" customFormat="1" x14ac:dyDescent="0.3"/>
    <row r="482" s="267" customFormat="1" x14ac:dyDescent="0.3"/>
    <row r="483" s="267" customFormat="1" x14ac:dyDescent="0.3"/>
    <row r="484" s="267" customFormat="1" x14ac:dyDescent="0.3"/>
    <row r="485" s="267" customFormat="1" x14ac:dyDescent="0.3"/>
    <row r="486" s="267" customFormat="1" x14ac:dyDescent="0.3"/>
    <row r="487" s="267" customFormat="1" x14ac:dyDescent="0.3"/>
    <row r="488" s="267" customFormat="1" x14ac:dyDescent="0.3"/>
    <row r="489" s="267" customFormat="1" x14ac:dyDescent="0.3"/>
    <row r="490" s="267" customFormat="1" x14ac:dyDescent="0.3"/>
    <row r="491" s="267" customFormat="1" x14ac:dyDescent="0.3"/>
    <row r="492" s="267" customFormat="1" x14ac:dyDescent="0.3"/>
    <row r="493" s="267" customFormat="1" x14ac:dyDescent="0.3"/>
    <row r="494" s="267" customFormat="1" x14ac:dyDescent="0.3"/>
    <row r="495" s="267" customFormat="1" x14ac:dyDescent="0.3"/>
    <row r="496" s="267" customFormat="1" x14ac:dyDescent="0.3"/>
    <row r="497" s="267" customFormat="1" x14ac:dyDescent="0.3"/>
    <row r="498" s="267" customFormat="1" x14ac:dyDescent="0.3"/>
    <row r="499" s="267" customFormat="1" x14ac:dyDescent="0.3"/>
    <row r="501" s="267" customFormat="1" x14ac:dyDescent="0.3"/>
    <row r="502" s="267" customFormat="1" x14ac:dyDescent="0.3"/>
    <row r="503" s="267" customFormat="1" x14ac:dyDescent="0.3"/>
    <row r="504" s="267" customFormat="1" x14ac:dyDescent="0.3"/>
    <row r="505" s="267" customFormat="1" x14ac:dyDescent="0.3"/>
    <row r="506" s="267" customFormat="1" x14ac:dyDescent="0.3"/>
    <row r="507" s="267" customFormat="1" x14ac:dyDescent="0.3"/>
    <row r="508" s="267" customFormat="1" x14ac:dyDescent="0.3"/>
    <row r="509" s="267" customFormat="1" x14ac:dyDescent="0.3"/>
    <row r="510" s="267" customFormat="1" x14ac:dyDescent="0.3"/>
    <row r="511" s="267" customFormat="1" x14ac:dyDescent="0.3"/>
    <row r="512" s="267" customFormat="1" x14ac:dyDescent="0.3"/>
    <row r="513" s="267" customFormat="1" x14ac:dyDescent="0.3"/>
    <row r="514" s="267" customFormat="1" x14ac:dyDescent="0.3"/>
    <row r="515" s="267" customFormat="1" x14ac:dyDescent="0.3"/>
    <row r="516" s="267" customFormat="1" x14ac:dyDescent="0.3"/>
    <row r="517" s="267" customFormat="1" x14ac:dyDescent="0.3"/>
    <row r="518" s="267" customFormat="1" x14ac:dyDescent="0.3"/>
    <row r="519" s="267" customFormat="1" x14ac:dyDescent="0.3"/>
    <row r="520" s="267" customFormat="1" x14ac:dyDescent="0.3"/>
    <row r="522" s="267" customFormat="1" x14ac:dyDescent="0.3"/>
    <row r="523" s="267" customFormat="1" x14ac:dyDescent="0.3"/>
    <row r="524" s="267" customFormat="1" x14ac:dyDescent="0.3"/>
    <row r="525" s="267" customFormat="1" x14ac:dyDescent="0.3"/>
    <row r="526" s="267" customFormat="1" x14ac:dyDescent="0.3"/>
    <row r="527" s="267" customFormat="1" x14ac:dyDescent="0.3"/>
    <row r="528" s="267" customFormat="1" x14ac:dyDescent="0.3"/>
    <row r="529" s="267" customFormat="1" x14ac:dyDescent="0.3"/>
    <row r="530" s="267" customFormat="1" x14ac:dyDescent="0.3"/>
    <row r="531" s="267" customFormat="1" x14ac:dyDescent="0.3"/>
    <row r="532" s="267" customFormat="1" x14ac:dyDescent="0.3"/>
    <row r="533" s="267" customFormat="1" x14ac:dyDescent="0.3"/>
    <row r="534" s="267" customFormat="1" x14ac:dyDescent="0.3"/>
    <row r="535" s="267" customFormat="1" x14ac:dyDescent="0.3"/>
    <row r="536" s="267" customFormat="1" x14ac:dyDescent="0.3"/>
    <row r="537" s="267" customFormat="1" x14ac:dyDescent="0.3"/>
    <row r="538" s="267" customFormat="1" x14ac:dyDescent="0.3"/>
    <row r="539" s="267" customFormat="1" x14ac:dyDescent="0.3"/>
    <row r="540" s="267" customFormat="1" x14ac:dyDescent="0.3"/>
    <row r="541" s="267" customFormat="1" x14ac:dyDescent="0.3"/>
    <row r="542" s="267" customFormat="1" x14ac:dyDescent="0.3"/>
    <row r="543" s="267" customFormat="1" x14ac:dyDescent="0.3"/>
    <row r="544" s="267" customFormat="1" x14ac:dyDescent="0.3"/>
    <row r="545" s="267" customFormat="1" x14ac:dyDescent="0.3"/>
    <row r="546" s="267" customFormat="1" x14ac:dyDescent="0.3"/>
    <row r="547" s="267" customFormat="1" x14ac:dyDescent="0.3"/>
    <row r="548" s="267" customFormat="1" x14ac:dyDescent="0.3"/>
    <row r="549" s="267" customFormat="1" x14ac:dyDescent="0.3"/>
    <row r="550" s="267" customFormat="1" x14ac:dyDescent="0.3"/>
    <row r="551" s="267" customFormat="1" x14ac:dyDescent="0.3"/>
    <row r="552" s="267" customFormat="1" x14ac:dyDescent="0.3"/>
    <row r="553" s="267" customFormat="1" x14ac:dyDescent="0.3"/>
    <row r="554" s="267" customFormat="1" x14ac:dyDescent="0.3"/>
    <row r="555" s="267" customFormat="1" x14ac:dyDescent="0.3"/>
    <row r="556" s="267" customFormat="1" x14ac:dyDescent="0.3"/>
    <row r="557" s="267" customFormat="1" x14ac:dyDescent="0.3"/>
    <row r="558" s="267" customFormat="1" x14ac:dyDescent="0.3"/>
    <row r="559" s="267" customFormat="1" x14ac:dyDescent="0.3"/>
    <row r="560" s="267" customFormat="1" x14ac:dyDescent="0.3"/>
    <row r="561" s="267" customFormat="1" x14ac:dyDescent="0.3"/>
    <row r="562" s="267" customFormat="1" x14ac:dyDescent="0.3"/>
    <row r="563" s="267" customFormat="1" x14ac:dyDescent="0.3"/>
    <row r="564" s="267" customFormat="1" x14ac:dyDescent="0.3"/>
    <row r="565" s="267" customFormat="1" x14ac:dyDescent="0.3"/>
    <row r="566" s="267" customFormat="1" x14ac:dyDescent="0.3"/>
    <row r="567" s="267" customFormat="1" x14ac:dyDescent="0.3"/>
    <row r="568" s="267" customFormat="1" x14ac:dyDescent="0.3"/>
    <row r="569" s="267" customFormat="1" x14ac:dyDescent="0.3"/>
    <row r="570" s="267" customFormat="1" x14ac:dyDescent="0.3"/>
    <row r="571" s="267" customFormat="1" x14ac:dyDescent="0.3"/>
    <row r="572" s="267" customFormat="1" x14ac:dyDescent="0.3"/>
    <row r="573" s="267" customFormat="1" x14ac:dyDescent="0.3"/>
    <row r="574" s="267" customFormat="1" x14ac:dyDescent="0.3"/>
    <row r="575" s="267" customFormat="1" x14ac:dyDescent="0.3"/>
    <row r="576" s="267" customFormat="1" x14ac:dyDescent="0.3"/>
    <row r="577" s="267" customFormat="1" x14ac:dyDescent="0.3"/>
    <row r="578" s="267" customFormat="1" x14ac:dyDescent="0.3"/>
    <row r="579" s="267" customFormat="1" x14ac:dyDescent="0.3"/>
    <row r="580" s="267" customFormat="1" x14ac:dyDescent="0.3"/>
    <row r="581" s="267" customFormat="1" x14ac:dyDescent="0.3"/>
    <row r="582" s="267" customFormat="1" x14ac:dyDescent="0.3"/>
    <row r="583" s="267" customFormat="1" x14ac:dyDescent="0.3"/>
    <row r="584" s="267" customFormat="1" x14ac:dyDescent="0.3"/>
    <row r="585" s="267" customFormat="1" x14ac:dyDescent="0.3"/>
    <row r="586" s="267" customFormat="1" x14ac:dyDescent="0.3"/>
    <row r="587" s="267" customFormat="1" x14ac:dyDescent="0.3"/>
    <row r="588" s="267" customFormat="1" x14ac:dyDescent="0.3"/>
    <row r="589" s="267" customFormat="1" x14ac:dyDescent="0.3"/>
    <row r="590" s="267" customFormat="1" x14ac:dyDescent="0.3"/>
    <row r="592" s="267" customFormat="1" x14ac:dyDescent="0.3"/>
    <row r="593" s="267" customFormat="1" x14ac:dyDescent="0.3"/>
    <row r="594" s="267" customFormat="1" x14ac:dyDescent="0.3"/>
    <row r="595" s="267" customFormat="1" x14ac:dyDescent="0.3"/>
    <row r="596" s="267" customFormat="1" x14ac:dyDescent="0.3"/>
    <row r="597" s="267" customFormat="1" x14ac:dyDescent="0.3"/>
    <row r="598" s="267" customFormat="1" x14ac:dyDescent="0.3"/>
    <row r="599" s="267" customFormat="1" x14ac:dyDescent="0.3"/>
    <row r="600" s="267" customFormat="1" x14ac:dyDescent="0.3"/>
    <row r="601" s="267" customFormat="1" x14ac:dyDescent="0.3"/>
    <row r="602" s="267" customFormat="1" x14ac:dyDescent="0.3"/>
    <row r="603" s="267" customFormat="1" x14ac:dyDescent="0.3"/>
    <row r="604" s="267" customFormat="1" x14ac:dyDescent="0.3"/>
    <row r="605" s="267" customFormat="1" x14ac:dyDescent="0.3"/>
    <row r="606" s="267" customFormat="1" x14ac:dyDescent="0.3"/>
    <row r="607" s="267" customFormat="1" x14ac:dyDescent="0.3"/>
    <row r="608" s="267" customFormat="1" x14ac:dyDescent="0.3"/>
    <row r="609" s="267" customFormat="1" x14ac:dyDescent="0.3"/>
    <row r="610" s="267" customFormat="1" x14ac:dyDescent="0.3"/>
    <row r="611" s="267" customFormat="1" x14ac:dyDescent="0.3"/>
    <row r="612" s="267" customFormat="1" x14ac:dyDescent="0.3"/>
    <row r="613" s="267" customFormat="1" x14ac:dyDescent="0.3"/>
    <row r="614" s="267" customFormat="1" x14ac:dyDescent="0.3"/>
    <row r="615" s="267" customFormat="1" x14ac:dyDescent="0.3"/>
    <row r="616" s="267" customFormat="1" x14ac:dyDescent="0.3"/>
    <row r="617" s="267" customFormat="1" x14ac:dyDescent="0.3"/>
    <row r="618" s="267" customFormat="1" x14ac:dyDescent="0.3"/>
    <row r="619" s="267" customFormat="1" x14ac:dyDescent="0.3"/>
    <row r="620" s="267" customFormat="1" x14ac:dyDescent="0.3"/>
    <row r="621" s="267" customFormat="1" x14ac:dyDescent="0.3"/>
    <row r="622" s="267" customFormat="1" x14ac:dyDescent="0.3"/>
    <row r="623" s="267" customFormat="1" x14ac:dyDescent="0.3"/>
    <row r="624" s="267" customFormat="1" x14ac:dyDescent="0.3"/>
    <row r="625" s="267" customFormat="1" x14ac:dyDescent="0.3"/>
    <row r="626" s="267" customFormat="1" x14ac:dyDescent="0.3"/>
    <row r="627" s="267" customFormat="1" x14ac:dyDescent="0.3"/>
    <row r="628" s="267" customFormat="1" x14ac:dyDescent="0.3"/>
    <row r="629" s="267" customFormat="1" x14ac:dyDescent="0.3"/>
    <row r="630" s="267" customFormat="1" x14ac:dyDescent="0.3"/>
    <row r="632" s="267" customFormat="1" x14ac:dyDescent="0.3"/>
    <row r="633" s="267" customFormat="1" x14ac:dyDescent="0.3"/>
    <row r="634" s="267" customFormat="1" x14ac:dyDescent="0.3"/>
    <row r="635" s="267" customFormat="1" x14ac:dyDescent="0.3"/>
    <row r="636" s="267" customFormat="1" x14ac:dyDescent="0.3"/>
    <row r="637" s="267" customFormat="1" x14ac:dyDescent="0.3"/>
    <row r="638" s="267" customFormat="1" x14ac:dyDescent="0.3"/>
    <row r="639" s="267" customFormat="1" x14ac:dyDescent="0.3"/>
    <row r="640" s="267" customFormat="1" x14ac:dyDescent="0.3"/>
    <row r="641" s="267" customFormat="1" x14ac:dyDescent="0.3"/>
    <row r="642" s="267" customFormat="1" x14ac:dyDescent="0.3"/>
    <row r="643" s="267" customFormat="1" x14ac:dyDescent="0.3"/>
    <row r="644" s="267" customFormat="1" x14ac:dyDescent="0.3"/>
    <row r="645" s="267" customFormat="1" x14ac:dyDescent="0.3"/>
    <row r="646" s="267" customFormat="1" x14ac:dyDescent="0.3"/>
    <row r="647" s="267" customFormat="1" x14ac:dyDescent="0.3"/>
    <row r="648" s="267" customFormat="1" x14ac:dyDescent="0.3"/>
    <row r="650" s="267" customFormat="1" x14ac:dyDescent="0.3"/>
    <row r="651" s="267" customFormat="1" x14ac:dyDescent="0.3"/>
    <row r="652" s="267" customFormat="1" x14ac:dyDescent="0.3"/>
    <row r="653" s="267" customFormat="1" x14ac:dyDescent="0.3"/>
    <row r="654" s="267" customFormat="1" x14ac:dyDescent="0.3"/>
    <row r="655" s="267" customFormat="1" x14ac:dyDescent="0.3"/>
    <row r="656" s="267" customFormat="1" x14ac:dyDescent="0.3"/>
    <row r="657" s="267" customFormat="1" x14ac:dyDescent="0.3"/>
    <row r="658" s="267" customFormat="1" x14ac:dyDescent="0.3"/>
    <row r="659" s="267" customFormat="1" x14ac:dyDescent="0.3"/>
    <row r="660" s="267" customFormat="1" x14ac:dyDescent="0.3"/>
    <row r="661" s="267" customFormat="1" x14ac:dyDescent="0.3"/>
    <row r="662" s="267" customFormat="1" x14ac:dyDescent="0.3"/>
    <row r="663" s="267" customFormat="1" x14ac:dyDescent="0.3"/>
    <row r="664" s="267" customFormat="1" x14ac:dyDescent="0.3"/>
    <row r="665" s="267" customFormat="1" x14ac:dyDescent="0.3"/>
    <row r="666" s="267" customFormat="1" x14ac:dyDescent="0.3"/>
    <row r="667" s="267" customFormat="1" x14ac:dyDescent="0.3"/>
    <row r="668" s="267" customFormat="1" x14ac:dyDescent="0.3"/>
    <row r="669" s="267" customFormat="1" x14ac:dyDescent="0.3"/>
    <row r="671" s="267" customFormat="1" x14ac:dyDescent="0.3"/>
    <row r="672" s="267" customFormat="1" x14ac:dyDescent="0.3"/>
    <row r="673" s="267" customFormat="1" x14ac:dyDescent="0.3"/>
    <row r="674" s="267" customFormat="1" x14ac:dyDescent="0.3"/>
    <row r="675" s="267" customFormat="1" x14ac:dyDescent="0.3"/>
    <row r="676" s="267" customFormat="1" x14ac:dyDescent="0.3"/>
    <row r="677" s="267" customFormat="1" x14ac:dyDescent="0.3"/>
    <row r="678" s="267" customFormat="1" x14ac:dyDescent="0.3"/>
    <row r="679" s="267" customFormat="1" x14ac:dyDescent="0.3"/>
    <row r="680" s="267" customFormat="1" x14ac:dyDescent="0.3"/>
    <row r="681" s="267" customFormat="1" x14ac:dyDescent="0.3"/>
    <row r="682" s="267" customFormat="1" x14ac:dyDescent="0.3"/>
    <row r="683" s="267" customFormat="1" x14ac:dyDescent="0.3"/>
    <row r="684" s="267" customFormat="1" x14ac:dyDescent="0.3"/>
    <row r="685" s="267" customFormat="1" x14ac:dyDescent="0.3"/>
    <row r="686" s="267" customFormat="1" x14ac:dyDescent="0.3"/>
    <row r="687" s="267" customFormat="1" x14ac:dyDescent="0.3"/>
    <row r="688" s="267" customFormat="1" x14ac:dyDescent="0.3"/>
    <row r="689" s="267" customFormat="1" x14ac:dyDescent="0.3"/>
    <row r="690" s="267" customFormat="1" x14ac:dyDescent="0.3"/>
    <row r="691" s="267" customFormat="1" x14ac:dyDescent="0.3"/>
    <row r="692" s="267" customFormat="1" x14ac:dyDescent="0.3"/>
    <row r="693" s="267" customFormat="1" x14ac:dyDescent="0.3"/>
    <row r="694" s="267" customFormat="1" x14ac:dyDescent="0.3"/>
    <row r="695" s="267" customFormat="1" x14ac:dyDescent="0.3"/>
    <row r="696" s="267" customFormat="1" x14ac:dyDescent="0.3"/>
    <row r="697" s="267" customFormat="1" x14ac:dyDescent="0.3"/>
    <row r="698" s="267" customFormat="1" x14ac:dyDescent="0.3"/>
    <row r="699" s="267" customFormat="1" x14ac:dyDescent="0.3"/>
    <row r="700" s="267" customFormat="1" x14ac:dyDescent="0.3"/>
    <row r="701" s="267" customFormat="1" x14ac:dyDescent="0.3"/>
    <row r="702" s="267" customFormat="1" x14ac:dyDescent="0.3"/>
    <row r="703" s="267" customFormat="1" x14ac:dyDescent="0.3"/>
    <row r="704" s="267" customFormat="1" x14ac:dyDescent="0.3"/>
    <row r="705" s="267" customFormat="1" x14ac:dyDescent="0.3"/>
    <row r="706" s="267" customFormat="1" x14ac:dyDescent="0.3"/>
    <row r="707" s="267" customFormat="1" x14ac:dyDescent="0.3"/>
    <row r="708" s="267" customFormat="1" x14ac:dyDescent="0.3"/>
    <row r="709" s="267" customFormat="1" x14ac:dyDescent="0.3"/>
    <row r="710" s="267" customFormat="1" x14ac:dyDescent="0.3"/>
    <row r="711" s="267" customFormat="1" x14ac:dyDescent="0.3"/>
    <row r="712" s="267" customFormat="1" x14ac:dyDescent="0.3"/>
    <row r="713" s="267" customFormat="1" x14ac:dyDescent="0.3"/>
    <row r="714" s="267" customFormat="1" x14ac:dyDescent="0.3"/>
    <row r="715" s="267" customFormat="1" x14ac:dyDescent="0.3"/>
    <row r="716" s="267" customFormat="1" x14ac:dyDescent="0.3"/>
    <row r="717" s="267" customFormat="1" x14ac:dyDescent="0.3"/>
    <row r="718" s="267" customFormat="1" x14ac:dyDescent="0.3"/>
    <row r="719" s="267" customFormat="1" x14ac:dyDescent="0.3"/>
    <row r="720" s="267" customFormat="1" x14ac:dyDescent="0.3"/>
    <row r="721" s="267" customFormat="1" x14ac:dyDescent="0.3"/>
    <row r="722" s="267" customFormat="1" x14ac:dyDescent="0.3"/>
    <row r="723" s="267" customFormat="1" x14ac:dyDescent="0.3"/>
    <row r="724" s="267" customFormat="1" x14ac:dyDescent="0.3"/>
    <row r="725" s="267" customFormat="1" x14ac:dyDescent="0.3"/>
    <row r="726" s="267" customFormat="1" x14ac:dyDescent="0.3"/>
    <row r="727" s="267" customFormat="1" x14ac:dyDescent="0.3"/>
    <row r="728" s="267" customFormat="1" x14ac:dyDescent="0.3"/>
    <row r="729" s="267" customFormat="1" x14ac:dyDescent="0.3"/>
    <row r="730" s="267" customFormat="1" x14ac:dyDescent="0.3"/>
    <row r="731" s="267" customFormat="1" x14ac:dyDescent="0.3"/>
    <row r="732" s="267" customFormat="1" x14ac:dyDescent="0.3"/>
    <row r="733" s="267" customFormat="1" x14ac:dyDescent="0.3"/>
    <row r="734" s="267" customFormat="1" x14ac:dyDescent="0.3"/>
    <row r="735" s="267" customFormat="1" x14ac:dyDescent="0.3"/>
    <row r="736" s="267" customFormat="1" x14ac:dyDescent="0.3"/>
    <row r="737" s="267" customFormat="1" x14ac:dyDescent="0.3"/>
    <row r="738" s="267" customFormat="1" x14ac:dyDescent="0.3"/>
    <row r="739" s="267" customFormat="1" x14ac:dyDescent="0.3"/>
    <row r="740" s="267" customFormat="1" x14ac:dyDescent="0.3"/>
    <row r="741" s="267" customFormat="1" x14ac:dyDescent="0.3"/>
    <row r="742" s="267" customFormat="1" x14ac:dyDescent="0.3"/>
    <row r="743" s="267" customFormat="1" x14ac:dyDescent="0.3"/>
    <row r="744" s="267" customFormat="1" x14ac:dyDescent="0.3"/>
    <row r="745" s="267" customFormat="1" x14ac:dyDescent="0.3"/>
    <row r="746" s="267" customFormat="1" x14ac:dyDescent="0.3"/>
    <row r="747" s="267" customFormat="1" x14ac:dyDescent="0.3"/>
    <row r="748" s="267" customFormat="1" x14ac:dyDescent="0.3"/>
    <row r="749" s="267" customFormat="1" x14ac:dyDescent="0.3"/>
    <row r="750" s="267" customFormat="1" x14ac:dyDescent="0.3"/>
    <row r="751" s="267" customFormat="1" x14ac:dyDescent="0.3"/>
    <row r="752" s="267" customFormat="1" x14ac:dyDescent="0.3"/>
    <row r="753" s="267" customFormat="1" x14ac:dyDescent="0.3"/>
    <row r="754" s="267" customFormat="1" x14ac:dyDescent="0.3"/>
    <row r="755" s="267" customFormat="1" x14ac:dyDescent="0.3"/>
    <row r="756" s="267" customFormat="1" x14ac:dyDescent="0.3"/>
    <row r="757" s="267" customFormat="1" x14ac:dyDescent="0.3"/>
    <row r="758" s="267" customFormat="1" x14ac:dyDescent="0.3"/>
    <row r="759" s="267" customFormat="1" x14ac:dyDescent="0.3"/>
    <row r="760" s="267" customFormat="1" x14ac:dyDescent="0.3"/>
    <row r="761" s="267" customFormat="1" x14ac:dyDescent="0.3"/>
    <row r="762" s="267" customFormat="1" x14ac:dyDescent="0.3"/>
    <row r="763" s="267" customFormat="1" x14ac:dyDescent="0.3"/>
    <row r="764" s="267" customFormat="1" x14ac:dyDescent="0.3"/>
    <row r="765" s="267" customFormat="1" x14ac:dyDescent="0.3"/>
    <row r="766" s="267" customFormat="1" x14ac:dyDescent="0.3"/>
    <row r="767" s="267" customFormat="1" x14ac:dyDescent="0.3"/>
    <row r="768" s="267" customFormat="1" x14ac:dyDescent="0.3"/>
    <row r="769" s="267" customFormat="1" x14ac:dyDescent="0.3"/>
    <row r="770" s="267" customFormat="1" x14ac:dyDescent="0.3"/>
    <row r="771" s="267" customFormat="1" x14ac:dyDescent="0.3"/>
    <row r="772" s="267" customFormat="1" x14ac:dyDescent="0.3"/>
    <row r="773" s="267" customFormat="1" x14ac:dyDescent="0.3"/>
    <row r="774" s="267" customFormat="1" x14ac:dyDescent="0.3"/>
    <row r="814" s="267" customFormat="1" x14ac:dyDescent="0.3"/>
    <row r="822" s="267" customFormat="1" x14ac:dyDescent="0.3"/>
    <row r="930" s="267" customFormat="1" x14ac:dyDescent="0.3"/>
    <row r="957" s="267" customFormat="1" x14ac:dyDescent="0.3"/>
    <row r="966" s="267" customFormat="1" x14ac:dyDescent="0.3"/>
    <row r="981" s="267" customFormat="1" x14ac:dyDescent="0.3"/>
    <row r="1011" s="267" customFormat="1" x14ac:dyDescent="0.3"/>
    <row r="1020" s="267" customFormat="1" x14ac:dyDescent="0.3"/>
    <row r="1025" s="267" customFormat="1" x14ac:dyDescent="0.3"/>
    <row r="1051" s="267" customFormat="1" x14ac:dyDescent="0.3"/>
    <row r="1060" s="267" customFormat="1" x14ac:dyDescent="0.3"/>
    <row r="1074" s="267" customFormat="1" x14ac:dyDescent="0.3"/>
    <row r="1079" s="267" customFormat="1" x14ac:dyDescent="0.3"/>
    <row r="1089" s="267" customFormat="1" x14ac:dyDescent="0.3"/>
    <row r="1105" s="267" customFormat="1" x14ac:dyDescent="0.3"/>
    <row r="1140" s="267" customFormat="1" x14ac:dyDescent="0.3"/>
    <row r="1156" s="267" customFormat="1" x14ac:dyDescent="0.3"/>
    <row r="1226" s="267" customFormat="1" x14ac:dyDescent="0.3"/>
    <row r="1325" s="267" customFormat="1" x14ac:dyDescent="0.3"/>
    <row r="1485" s="267" customFormat="1" x14ac:dyDescent="0.3"/>
    <row r="1506" s="267" customFormat="1" x14ac:dyDescent="0.3"/>
    <row r="1507" s="267" customFormat="1" x14ac:dyDescent="0.3"/>
    <row r="1543" s="267" customFormat="1" x14ac:dyDescent="0.3"/>
    <row r="1564" s="267" customFormat="1" x14ac:dyDescent="0.3"/>
    <row r="1590" s="267" customFormat="1" x14ac:dyDescent="0.3"/>
    <row r="1632" s="267" customFormat="1" x14ac:dyDescent="0.3"/>
    <row r="1638" s="267" customFormat="1" x14ac:dyDescent="0.3"/>
    <row r="1651" s="267" customFormat="1" x14ac:dyDescent="0.3"/>
    <row r="1668" s="267" customFormat="1" x14ac:dyDescent="0.3"/>
    <row r="1674" s="267" customFormat="1" x14ac:dyDescent="0.3"/>
    <row r="1711" s="267" customFormat="1" x14ac:dyDescent="0.3"/>
    <row r="1798" s="267" customFormat="1" x14ac:dyDescent="0.3"/>
    <row r="1800" s="267" customFormat="1" x14ac:dyDescent="0.3"/>
    <row r="1822" s="267" customFormat="1" x14ac:dyDescent="0.3"/>
    <row r="1873" s="267" customFormat="1" x14ac:dyDescent="0.3"/>
    <row r="1912" s="267" customFormat="1" x14ac:dyDescent="0.3"/>
    <row r="1940" s="267" customFormat="1" x14ac:dyDescent="0.3"/>
    <row r="1993" s="267" customFormat="1" x14ac:dyDescent="0.3"/>
    <row r="2007" s="267" customFormat="1" x14ac:dyDescent="0.3"/>
    <row r="2088" s="267" customFormat="1" x14ac:dyDescent="0.3"/>
    <row r="2110" s="267" customFormat="1" x14ac:dyDescent="0.3"/>
    <row r="2138" s="267" customFormat="1" x14ac:dyDescent="0.3"/>
    <row r="2159" s="267" customFormat="1" x14ac:dyDescent="0.3"/>
    <row r="2182" s="267" customFormat="1" x14ac:dyDescent="0.3"/>
    <row r="2287" s="267" customFormat="1" x14ac:dyDescent="0.3"/>
    <row r="2345" s="267" customFormat="1" x14ac:dyDescent="0.3"/>
    <row r="2402" s="267" customFormat="1" x14ac:dyDescent="0.3"/>
    <row r="2416" s="267" customFormat="1" x14ac:dyDescent="0.3"/>
    <row r="2519" s="267" customFormat="1" x14ac:dyDescent="0.3"/>
    <row r="2526" s="267" customFormat="1" x14ac:dyDescent="0.3"/>
    <row r="2542" s="267" customFormat="1" x14ac:dyDescent="0.3"/>
    <row r="2603" s="267" customFormat="1" x14ac:dyDescent="0.3"/>
    <row r="2664" s="267" customFormat="1" x14ac:dyDescent="0.3"/>
    <row r="2669" s="267" customFormat="1" x14ac:dyDescent="0.3"/>
    <row r="2688" s="267" customFormat="1" x14ac:dyDescent="0.3"/>
    <row r="2738" s="267" customFormat="1" x14ac:dyDescent="0.3"/>
    <row r="2779" s="267" customFormat="1" x14ac:dyDescent="0.3"/>
    <row r="2805" s="267" customFormat="1" x14ac:dyDescent="0.3"/>
    <row r="2829" s="267" customFormat="1" x14ac:dyDescent="0.3"/>
    <row r="2840" s="267" customFormat="1" x14ac:dyDescent="0.3"/>
    <row r="2875" s="267" customFormat="1" x14ac:dyDescent="0.3"/>
    <row r="2897" s="267" customFormat="1" x14ac:dyDescent="0.3"/>
    <row r="2934" s="267" customFormat="1" x14ac:dyDescent="0.3"/>
    <row r="2991" s="267" customFormat="1" x14ac:dyDescent="0.3"/>
    <row r="3007" s="267" customFormat="1" x14ac:dyDescent="0.3"/>
    <row r="3049" s="267" customFormat="1" x14ac:dyDescent="0.3"/>
    <row r="3091" s="267" customFormat="1" x14ac:dyDescent="0.3"/>
    <row r="3115" s="267" customFormat="1" x14ac:dyDescent="0.3"/>
    <row r="3129" s="267" customFormat="1" x14ac:dyDescent="0.3"/>
    <row r="3132" s="267" customFormat="1" x14ac:dyDescent="0.3"/>
    <row r="3183" s="267" customFormat="1" x14ac:dyDescent="0.3"/>
    <row r="3244" s="267" customFormat="1" x14ac:dyDescent="0.3"/>
    <row r="3266" s="267" customFormat="1" x14ac:dyDescent="0.3"/>
    <row r="3276" s="267" customFormat="1" x14ac:dyDescent="0.3"/>
    <row r="3295" s="267" customFormat="1" x14ac:dyDescent="0.3"/>
    <row r="3302" s="267" customFormat="1" x14ac:dyDescent="0.3"/>
    <row r="3323" s="267" customFormat="1" x14ac:dyDescent="0.3"/>
    <row r="3408" s="267" customFormat="1" x14ac:dyDescent="0.3"/>
    <row r="3443" s="267" customFormat="1" x14ac:dyDescent="0.3"/>
    <row r="3475" s="267" customFormat="1" x14ac:dyDescent="0.3"/>
  </sheetData>
  <sheetProtection selectLockedCells="1" selectUnlockedCells="1"/>
  <autoFilter ref="A2:Z2" xr:uid="{00000000-0001-0000-0600-000000000000}">
    <sortState xmlns:xlrd2="http://schemas.microsoft.com/office/spreadsheetml/2017/richdata2" ref="A3:Z70">
      <sortCondition ref="B2"/>
    </sortState>
  </autoFilter>
  <phoneticPr fontId="68" type="noConversion"/>
  <conditionalFormatting sqref="A3558:A1048576 A1:A24 A29:A2715">
    <cfRule type="duplicateValues" dxfId="2" priority="3"/>
  </conditionalFormatting>
  <conditionalFormatting sqref="A2716:A3557">
    <cfRule type="duplicateValues" dxfId="1" priority="31"/>
  </conditionalFormatting>
  <conditionalFormatting sqref="A25:A2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1</vt:i4>
      </vt:variant>
    </vt:vector>
  </HeadingPairs>
  <TitlesOfParts>
    <vt:vector size="9" baseType="lpstr">
      <vt:lpstr>تعليمات التسجيل</vt:lpstr>
      <vt:lpstr>أسماء الطلاب</vt:lpstr>
      <vt:lpstr>إدخال البيانات</vt:lpstr>
      <vt:lpstr>اختيار المقررات</vt:lpstr>
      <vt:lpstr>الإستمارة</vt:lpstr>
      <vt:lpstr>21-22-قانونية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2022-01-06T01:27:12Z</cp:lastPrinted>
  <dcterms:created xsi:type="dcterms:W3CDTF">2015-06-05T18:17:20Z</dcterms:created>
  <dcterms:modified xsi:type="dcterms:W3CDTF">2022-02-13T13:55:29Z</dcterms:modified>
</cp:coreProperties>
</file>