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قدامى ف1 2024-2025\دراسات قانونية ف1 2024-2025\"/>
    </mc:Choice>
  </mc:AlternateContent>
  <xr:revisionPtr revIDLastSave="0" documentId="13_ncr:1_{690C45D4-D75B-49C5-B8A2-A4C810CF1BB6}" xr6:coauthVersionLast="47" xr6:coauthVersionMax="47" xr10:uidLastSave="{00000000-0000-0000-0000-000000000000}"/>
  <workbookProtection workbookAlgorithmName="SHA-512" workbookHashValue="mbnKPPZhHGnaqdvCal8ni9hYS++8a4vlRgwDOuSgXEmFRASZqA6FAcmjruMC5N+TCz8Wl6aXwvLdN1EGXlItYA==" workbookSaltValue="W1wnl0EiWwYX/qHHugbf2A==" workbookSpinCount="100000" lockStructure="1"/>
  <bookViews>
    <workbookView xWindow="-108" yWindow="-108" windowWidth="23256" windowHeight="12576" xr2:uid="{00000000-000D-0000-FFFF-FFFF00000000}"/>
  </bookViews>
  <sheets>
    <sheet name="تعليمات التسجيل" sheetId="14" r:id="rId1"/>
    <sheet name="أسماء الطلاب" sheetId="16" r:id="rId2"/>
    <sheet name="إدخال البيانات" sheetId="15" r:id="rId3"/>
    <sheet name="اختيار المقررات" sheetId="5" r:id="rId4"/>
    <sheet name="الإستمارة" sheetId="11" r:id="rId5"/>
    <sheet name="leg" sheetId="2" r:id="rId6"/>
    <sheet name="ورقة4" sheetId="10" state="hidden" r:id="rId7"/>
    <sheet name="ورقة2" sheetId="4" state="hidden" r:id="rId8"/>
  </sheets>
  <definedNames>
    <definedName name="_xlnm._FilterDatabase" localSheetId="5" hidden="1">leg!#REF!</definedName>
    <definedName name="_xlnm._FilterDatabase" localSheetId="3" hidden="1">'اختيار المقررات'!$BF$5:$BG$5</definedName>
    <definedName name="_xlnm._FilterDatabase" localSheetId="2" hidden="1">'إدخال البيانات'!$I$4:$I$19</definedName>
    <definedName name="_xlnm._FilterDatabase" localSheetId="7" hidden="1">ورقة2!$A$2:$Z$90</definedName>
    <definedName name="_xlnm._FilterDatabase" localSheetId="6" hidden="1">ورقة4!$A$1:$BB$77</definedName>
    <definedName name="_xlnm.Print_Area" localSheetId="4">الإستمارة!$B$1:$R$43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1" l="1"/>
  <c r="J23" i="11"/>
  <c r="N22" i="11"/>
  <c r="K22" i="11"/>
  <c r="E22" i="11"/>
  <c r="GF5" i="2"/>
  <c r="FQ5" i="2"/>
  <c r="FK5" i="2"/>
  <c r="FJ5" i="2"/>
  <c r="FI5" i="2"/>
  <c r="FH5" i="2"/>
  <c r="D1" i="15" l="1"/>
  <c r="G40" i="11"/>
  <c r="AE22" i="11"/>
  <c r="AE4" i="5"/>
  <c r="O5" i="2" s="1"/>
  <c r="AB4" i="5"/>
  <c r="N5" i="2" s="1"/>
  <c r="W4" i="5"/>
  <c r="M5" i="2" s="1"/>
  <c r="W2" i="5"/>
  <c r="J3" i="11" s="1"/>
  <c r="Z6" i="11" s="1"/>
  <c r="Y6" i="11" s="1"/>
  <c r="Q2" i="5"/>
  <c r="H2" i="5"/>
  <c r="GA5" i="2" s="1"/>
  <c r="E1" i="5"/>
  <c r="AB2" i="5"/>
  <c r="E2" i="5" l="1"/>
  <c r="W1" i="5"/>
  <c r="Q4" i="5"/>
  <c r="L4" i="5"/>
  <c r="P6" i="11" s="1"/>
  <c r="Z19" i="11" s="1"/>
  <c r="Y19" i="11" s="1"/>
  <c r="E4" i="5"/>
  <c r="E3" i="5"/>
  <c r="I5" i="2" s="1"/>
  <c r="AE1" i="5"/>
  <c r="C39" i="5"/>
  <c r="C38" i="5"/>
  <c r="AB1" i="5"/>
  <c r="K7" i="11"/>
  <c r="Z22" i="11" s="1"/>
  <c r="Y22" i="11" s="1"/>
  <c r="D7" i="11"/>
  <c r="Z20" i="11" s="1"/>
  <c r="Y20" i="11" s="1"/>
  <c r="H7" i="11"/>
  <c r="Z21" i="11" s="1"/>
  <c r="Y21" i="11" s="1"/>
  <c r="N4" i="11"/>
  <c r="Z11" i="11" s="1"/>
  <c r="Y11" i="11" s="1"/>
  <c r="FX5" i="2"/>
  <c r="FY5" i="2"/>
  <c r="N3" i="11"/>
  <c r="Z5" i="11" s="1"/>
  <c r="Y5" i="11" s="1"/>
  <c r="C37" i="5"/>
  <c r="C35" i="5"/>
  <c r="L3" i="5"/>
  <c r="F3" i="11"/>
  <c r="Z7" i="11" s="1"/>
  <c r="Y7" i="11" s="1"/>
  <c r="FZ5" i="2"/>
  <c r="C36" i="5"/>
  <c r="A5" i="2"/>
  <c r="L1" i="5"/>
  <c r="D2" i="11"/>
  <c r="E35" i="11" s="1"/>
  <c r="E40" i="11" s="1"/>
  <c r="A2" i="15" l="1"/>
  <c r="N27" i="5"/>
  <c r="J24" i="11" s="1"/>
  <c r="B6" i="5"/>
  <c r="AE3" i="5"/>
  <c r="H2" i="11"/>
  <c r="B5" i="2"/>
  <c r="H4" i="11"/>
  <c r="Z9" i="11" s="1"/>
  <c r="Y9" i="11" s="1"/>
  <c r="F5" i="2"/>
  <c r="K6" i="11"/>
  <c r="Z18" i="11" s="1"/>
  <c r="Y18" i="11" s="1"/>
  <c r="K5" i="2"/>
  <c r="R5" i="2"/>
  <c r="Q5" i="2"/>
  <c r="H6" i="11"/>
  <c r="Z17" i="11" s="1"/>
  <c r="Y17" i="11" s="1"/>
  <c r="P5" i="2"/>
  <c r="D5" i="11"/>
  <c r="Z12" i="11" s="1"/>
  <c r="Y12" i="11" s="1"/>
  <c r="J5" i="2"/>
  <c r="K4" i="11"/>
  <c r="Z10" i="11" s="1"/>
  <c r="Y10" i="11" s="1"/>
  <c r="E5" i="2"/>
  <c r="P2" i="11"/>
  <c r="Z4" i="11" s="1"/>
  <c r="Y4" i="11" s="1"/>
  <c r="D5" i="2"/>
  <c r="D3" i="11"/>
  <c r="S5" i="2"/>
  <c r="B29" i="5"/>
  <c r="C29" i="5" s="1"/>
  <c r="B31" i="5"/>
  <c r="C31" i="5" s="1"/>
  <c r="B30" i="5"/>
  <c r="C30" i="5" s="1"/>
  <c r="B32" i="5"/>
  <c r="C32" i="5" s="1"/>
  <c r="B30" i="11" s="1"/>
  <c r="B28" i="5"/>
  <c r="AB3" i="5"/>
  <c r="D4" i="11"/>
  <c r="W3" i="5"/>
  <c r="P5" i="11" s="1"/>
  <c r="Z15" i="11" s="1"/>
  <c r="Y15" i="11" s="1"/>
  <c r="Q3" i="5"/>
  <c r="W27" i="5" l="1"/>
  <c r="AD27" i="5" s="1"/>
  <c r="GC5" i="2"/>
  <c r="G28" i="11"/>
  <c r="GD5" i="2"/>
  <c r="B29" i="11"/>
  <c r="GE5" i="2"/>
  <c r="G29" i="11"/>
  <c r="H5" i="11"/>
  <c r="Z13" i="11" s="1"/>
  <c r="Y13" i="11" s="1"/>
  <c r="H5" i="2"/>
  <c r="D6" i="11"/>
  <c r="Z16" i="11" s="1"/>
  <c r="Y16" i="11" s="1"/>
  <c r="L5" i="2"/>
  <c r="K5" i="11"/>
  <c r="Z14" i="11" s="1"/>
  <c r="Y14" i="11" s="1"/>
  <c r="G5" i="2"/>
  <c r="C28" i="5"/>
  <c r="B35" i="11"/>
  <c r="B40" i="11" s="1"/>
  <c r="Z8" i="11"/>
  <c r="Y8" i="11" s="1"/>
  <c r="H34" i="11"/>
  <c r="H39" i="11" s="1"/>
  <c r="GB5" i="2" l="1"/>
  <c r="B28" i="11"/>
  <c r="B27" i="11" s="1"/>
  <c r="FL5" i="2"/>
  <c r="E24" i="11"/>
  <c r="FN5" i="2" l="1"/>
  <c r="AG22" i="5"/>
  <c r="AA22" i="5" s="1"/>
  <c r="Y22" i="5"/>
  <c r="S22" i="5" s="1"/>
  <c r="Q22" i="5"/>
  <c r="K22" i="5" s="1"/>
  <c r="AG21" i="5"/>
  <c r="AA21" i="5" s="1"/>
  <c r="Y21" i="5"/>
  <c r="S21" i="5" s="1"/>
  <c r="Q21" i="5"/>
  <c r="K21" i="5" s="1"/>
  <c r="AG20" i="5"/>
  <c r="AA20" i="5" s="1"/>
  <c r="Y20" i="5"/>
  <c r="S20" i="5" s="1"/>
  <c r="Q20" i="5"/>
  <c r="K20" i="5" s="1"/>
  <c r="AG19" i="5"/>
  <c r="AA19" i="5" s="1"/>
  <c r="Y19" i="5"/>
  <c r="S19" i="5" s="1"/>
  <c r="Q19" i="5"/>
  <c r="K19" i="5" s="1"/>
  <c r="AG18" i="5"/>
  <c r="AA18" i="5" s="1"/>
  <c r="Y18" i="5"/>
  <c r="S18" i="5" s="1"/>
  <c r="Q18" i="5"/>
  <c r="K18" i="5" s="1"/>
  <c r="AG17" i="5"/>
  <c r="AA17" i="5" s="1"/>
  <c r="Y17" i="5"/>
  <c r="S17" i="5" s="1"/>
  <c r="Q17" i="5"/>
  <c r="K17" i="5" s="1"/>
  <c r="AG13" i="5"/>
  <c r="AA13" i="5" s="1"/>
  <c r="Y13" i="5"/>
  <c r="S13" i="5" s="1"/>
  <c r="Q13" i="5"/>
  <c r="K13" i="5" s="1"/>
  <c r="AG12" i="5"/>
  <c r="AA12" i="5" s="1"/>
  <c r="Y12" i="5"/>
  <c r="S12" i="5" s="1"/>
  <c r="Q12" i="5"/>
  <c r="K12" i="5" s="1"/>
  <c r="AG11" i="5"/>
  <c r="AA11" i="5" s="1"/>
  <c r="Y11" i="5"/>
  <c r="S11" i="5" s="1"/>
  <c r="Q11" i="5"/>
  <c r="K11" i="5" s="1"/>
  <c r="AG10" i="5"/>
  <c r="AA10" i="5" s="1"/>
  <c r="Y10" i="5"/>
  <c r="S10" i="5" s="1"/>
  <c r="Q10" i="5"/>
  <c r="K10" i="5" s="1"/>
  <c r="AG9" i="5"/>
  <c r="AA9" i="5" s="1"/>
  <c r="Y9" i="5"/>
  <c r="S9" i="5" s="1"/>
  <c r="Q9" i="5"/>
  <c r="K9" i="5" s="1"/>
  <c r="AG8" i="5"/>
  <c r="AA8" i="5" s="1"/>
  <c r="Y8" i="5"/>
  <c r="S8" i="5" s="1"/>
  <c r="Q8" i="5"/>
  <c r="K8" i="5" s="1"/>
  <c r="I23" i="5"/>
  <c r="B23" i="5" s="1"/>
  <c r="I22" i="5"/>
  <c r="B22" i="5" s="1"/>
  <c r="I21" i="5"/>
  <c r="B21" i="5" s="1"/>
  <c r="I20" i="5"/>
  <c r="B20" i="5" s="1"/>
  <c r="I19" i="5"/>
  <c r="B19" i="5" s="1"/>
  <c r="I18" i="5"/>
  <c r="B18" i="5" s="1"/>
  <c r="I17" i="5"/>
  <c r="B17" i="5" s="1"/>
  <c r="I14" i="5"/>
  <c r="B14" i="5" s="1"/>
  <c r="I13" i="5"/>
  <c r="B13" i="5" s="1"/>
  <c r="I12" i="5"/>
  <c r="B12" i="5" s="1"/>
  <c r="I11" i="5"/>
  <c r="B11" i="5" s="1"/>
  <c r="I10" i="5"/>
  <c r="B10" i="5" s="1"/>
  <c r="I9" i="5"/>
  <c r="B9" i="5" s="1"/>
  <c r="I8" i="5"/>
  <c r="B8" i="5" s="1"/>
  <c r="A23" i="5" l="1"/>
  <c r="A17" i="5"/>
  <c r="A22" i="5"/>
  <c r="A18" i="5"/>
  <c r="A21" i="5"/>
  <c r="A19" i="5"/>
  <c r="A20" i="5"/>
  <c r="AG24" i="5"/>
  <c r="AF24" i="5"/>
  <c r="AE24" i="5"/>
  <c r="Q15" i="5"/>
  <c r="P15" i="5"/>
  <c r="O15" i="5"/>
  <c r="I24" i="5"/>
  <c r="H24" i="5"/>
  <c r="G24" i="5"/>
  <c r="X15" i="5"/>
  <c r="W15" i="5"/>
  <c r="Y15" i="5"/>
  <c r="I15" i="5"/>
  <c r="H15" i="5"/>
  <c r="G15" i="5"/>
  <c r="AG15" i="5"/>
  <c r="AF15" i="5"/>
  <c r="AE15" i="5"/>
  <c r="Q24" i="5"/>
  <c r="P24" i="5"/>
  <c r="O24" i="5"/>
  <c r="W24" i="5"/>
  <c r="Y24" i="5"/>
  <c r="X24" i="5"/>
  <c r="AY46" i="5"/>
  <c r="AY8" i="5"/>
  <c r="AY22" i="5"/>
  <c r="AY38" i="5"/>
  <c r="AY35" i="5"/>
  <c r="AY26" i="5"/>
  <c r="AY52" i="5"/>
  <c r="AY32" i="5"/>
  <c r="AY9" i="5"/>
  <c r="AY23" i="5"/>
  <c r="AY14" i="5"/>
  <c r="AY41" i="5"/>
  <c r="AY44" i="5"/>
  <c r="AY29" i="5"/>
  <c r="AY7" i="5"/>
  <c r="AY16" i="5"/>
  <c r="AY10" i="5"/>
  <c r="AY24" i="5"/>
  <c r="AY33" i="5"/>
  <c r="AY17" i="5"/>
  <c r="AY50" i="5"/>
  <c r="AY47" i="5"/>
  <c r="AY21" i="5"/>
  <c r="AY11" i="5"/>
  <c r="AY12" i="5"/>
  <c r="AY39" i="5"/>
  <c r="AY36" i="5"/>
  <c r="AY27" i="5"/>
  <c r="AY53" i="5"/>
  <c r="AY49" i="5"/>
  <c r="AY18" i="5"/>
  <c r="AY31" i="5"/>
  <c r="AY15" i="5"/>
  <c r="AY42" i="5"/>
  <c r="AY45" i="5"/>
  <c r="AY30" i="5"/>
  <c r="AY19" i="5"/>
  <c r="AY37" i="5"/>
  <c r="AY34" i="5"/>
  <c r="AY25" i="5"/>
  <c r="AY51" i="5"/>
  <c r="AY48" i="5"/>
  <c r="AY5" i="5"/>
  <c r="AY6" i="5"/>
  <c r="AY20" i="5"/>
  <c r="AY13" i="5"/>
  <c r="AY40" i="5"/>
  <c r="AY43" i="5"/>
  <c r="AY28" i="5"/>
  <c r="AY54" i="5"/>
  <c r="T6" i="5" l="1"/>
  <c r="W23" i="11" l="1"/>
  <c r="C27" i="5" l="1"/>
  <c r="J8" i="5" l="1"/>
  <c r="U24" i="11"/>
  <c r="W30" i="11" s="1"/>
  <c r="U23" i="11"/>
  <c r="W31" i="11" s="1"/>
  <c r="U22" i="11"/>
  <c r="W29" i="11" s="1"/>
  <c r="U25" i="11"/>
  <c r="W34" i="11" s="1"/>
  <c r="B1" i="11"/>
  <c r="FM5" i="2" l="1"/>
  <c r="E23" i="11"/>
  <c r="AQ5" i="2"/>
  <c r="AO5" i="2"/>
  <c r="AM5" i="2"/>
  <c r="AK5" i="2"/>
  <c r="AI5" i="2"/>
  <c r="AG5" i="2"/>
  <c r="AE5" i="2"/>
  <c r="AC5" i="2"/>
  <c r="AA5" i="2"/>
  <c r="Y5" i="2"/>
  <c r="W5" i="2"/>
  <c r="U5" i="2"/>
  <c r="AX50" i="5" l="1"/>
  <c r="AX51" i="5"/>
  <c r="AX52" i="5"/>
  <c r="AX53" i="5"/>
  <c r="AX54" i="5"/>
  <c r="AX49" i="5"/>
  <c r="AX44" i="5"/>
  <c r="AX45" i="5"/>
  <c r="AX46" i="5"/>
  <c r="AX47" i="5"/>
  <c r="AX48" i="5"/>
  <c r="AX43" i="5"/>
  <c r="AX38" i="5"/>
  <c r="AX39" i="5"/>
  <c r="AX40" i="5"/>
  <c r="AX41" i="5"/>
  <c r="AX42" i="5"/>
  <c r="AX37" i="5"/>
  <c r="AX32" i="5"/>
  <c r="AX33" i="5"/>
  <c r="AX34" i="5"/>
  <c r="AX35" i="5"/>
  <c r="AX36" i="5"/>
  <c r="AX31" i="5"/>
  <c r="AX26" i="5"/>
  <c r="AX27" i="5"/>
  <c r="AX28" i="5"/>
  <c r="AX29" i="5"/>
  <c r="AX30" i="5"/>
  <c r="AX25" i="5"/>
  <c r="AX20" i="5"/>
  <c r="AX21" i="5"/>
  <c r="AX22" i="5"/>
  <c r="AX23" i="5"/>
  <c r="AX24" i="5"/>
  <c r="AX19" i="5"/>
  <c r="AX13" i="5"/>
  <c r="AX14" i="5"/>
  <c r="AX15" i="5"/>
  <c r="AX16" i="5"/>
  <c r="AX17" i="5"/>
  <c r="AX12" i="5"/>
  <c r="AX6" i="5"/>
  <c r="AX7" i="5"/>
  <c r="AX8" i="5"/>
  <c r="AX9" i="5"/>
  <c r="AX10" i="5"/>
  <c r="AX11" i="5"/>
  <c r="AX5" i="5"/>
  <c r="AX18" i="5"/>
  <c r="AL27" i="5"/>
  <c r="Z22" i="5"/>
  <c r="Z17" i="5"/>
  <c r="Z21" i="5"/>
  <c r="Z20" i="5"/>
  <c r="Z19" i="5"/>
  <c r="Z18" i="5"/>
  <c r="R22" i="5"/>
  <c r="R21" i="5"/>
  <c r="R20" i="5"/>
  <c r="R19" i="5"/>
  <c r="R18" i="5"/>
  <c r="R17" i="5"/>
  <c r="Z13" i="5"/>
  <c r="Z12" i="5"/>
  <c r="Z11" i="5"/>
  <c r="Z10" i="5"/>
  <c r="Z9" i="5"/>
  <c r="Z8" i="5"/>
  <c r="R13" i="5"/>
  <c r="R12" i="5"/>
  <c r="R11" i="5"/>
  <c r="R10" i="5"/>
  <c r="R9" i="5"/>
  <c r="R8" i="5"/>
  <c r="AW54" i="5"/>
  <c r="AW42" i="5"/>
  <c r="AW30" i="5"/>
  <c r="AW17" i="5"/>
  <c r="L13" i="5"/>
  <c r="L22" i="5"/>
  <c r="AV30" i="5" s="1"/>
  <c r="AB13" i="5"/>
  <c r="AV42" i="5" s="1"/>
  <c r="AB22" i="5"/>
  <c r="AV54" i="5" s="1"/>
  <c r="AL38" i="5" l="1"/>
  <c r="AL55" i="5"/>
  <c r="AL45" i="5"/>
  <c r="AL39" i="5"/>
  <c r="AL47" i="5"/>
  <c r="AL56" i="5"/>
  <c r="AL54" i="5"/>
  <c r="AL48" i="5"/>
  <c r="AL41" i="5"/>
  <c r="AL49" i="5"/>
  <c r="AL57" i="5"/>
  <c r="AL42" i="5"/>
  <c r="AL50" i="5"/>
  <c r="AL35" i="5"/>
  <c r="AL43" i="5"/>
  <c r="AL51" i="5"/>
  <c r="AL37" i="5"/>
  <c r="AL36" i="5"/>
  <c r="AL44" i="5"/>
  <c r="AL53" i="5"/>
  <c r="AV17" i="5"/>
  <c r="J22" i="5"/>
  <c r="AL33" i="5" s="1"/>
  <c r="J21" i="5"/>
  <c r="AL32" i="5" s="1"/>
  <c r="J20" i="5"/>
  <c r="AL31" i="5" s="1"/>
  <c r="J19" i="5"/>
  <c r="AL30" i="5" s="1"/>
  <c r="J18" i="5"/>
  <c r="AL29" i="5" s="1"/>
  <c r="J17" i="5"/>
  <c r="AL28" i="5" s="1"/>
  <c r="J13" i="5"/>
  <c r="AL20" i="5" s="1"/>
  <c r="AL26" i="5"/>
  <c r="AL25" i="5"/>
  <c r="AL24" i="5"/>
  <c r="AL23" i="5"/>
  <c r="AL22" i="5"/>
  <c r="AL21" i="5"/>
  <c r="J12" i="5"/>
  <c r="AL19" i="5" s="1"/>
  <c r="J11" i="5"/>
  <c r="AL18" i="5" s="1"/>
  <c r="J10" i="5"/>
  <c r="AL17" i="5" s="1"/>
  <c r="J9" i="5"/>
  <c r="AL16" i="5" s="1"/>
  <c r="A14" i="5"/>
  <c r="AL14" i="5" s="1"/>
  <c r="A8" i="5"/>
  <c r="FG5" i="2" l="1"/>
  <c r="FE5" i="2"/>
  <c r="FC5" i="2"/>
  <c r="DM5" i="2"/>
  <c r="AY5" i="2"/>
  <c r="DK5" i="2"/>
  <c r="AW5" i="2"/>
  <c r="FA5" i="2"/>
  <c r="EW5" i="2"/>
  <c r="CM5" i="2"/>
  <c r="AU5" i="2"/>
  <c r="CC5" i="2"/>
  <c r="DO5" i="2"/>
  <c r="DY5" i="2"/>
  <c r="CK5" i="2"/>
  <c r="AS5" i="2"/>
  <c r="CI5" i="2"/>
  <c r="BA5" i="2"/>
  <c r="DW5" i="2"/>
  <c r="DU5" i="2"/>
  <c r="CG5" i="2"/>
  <c r="DQ5" i="2"/>
  <c r="BY5" i="2"/>
  <c r="EI5" i="2"/>
  <c r="DC5" i="2"/>
  <c r="CS5" i="2"/>
  <c r="DS5" i="2"/>
  <c r="EG5" i="2"/>
  <c r="CU5" i="2"/>
  <c r="CE5" i="2"/>
  <c r="BU5" i="2"/>
  <c r="EC5" i="2"/>
  <c r="EQ5" i="2"/>
  <c r="BI5" i="2"/>
  <c r="DG5" i="2"/>
  <c r="BM5" i="2"/>
  <c r="DE5" i="2"/>
  <c r="EO5" i="2"/>
  <c r="DA5" i="2"/>
  <c r="BQ5" i="2"/>
  <c r="BG5" i="2"/>
  <c r="BW5" i="2"/>
  <c r="EA5" i="2"/>
  <c r="CW5" i="2"/>
  <c r="CA5" i="2"/>
  <c r="EM5" i="2"/>
  <c r="BO5" i="2"/>
  <c r="BS5" i="2"/>
  <c r="CO5" i="2"/>
  <c r="EU5" i="2"/>
  <c r="CQ5" i="2"/>
  <c r="BC5" i="2"/>
  <c r="EE5" i="2"/>
  <c r="EY5" i="2"/>
  <c r="BK5" i="2"/>
  <c r="ES5" i="2"/>
  <c r="DI5" i="2"/>
  <c r="CY5" i="2"/>
  <c r="EK5" i="2"/>
  <c r="BE5" i="2"/>
  <c r="A10" i="5" l="1"/>
  <c r="AL10" i="5" s="1"/>
  <c r="A13" i="5"/>
  <c r="AL13" i="5" s="1"/>
  <c r="A11" i="5"/>
  <c r="AL11" i="5" s="1"/>
  <c r="A9" i="5"/>
  <c r="AL9" i="5" s="1"/>
  <c r="A12" i="5"/>
  <c r="AL12" i="5" s="1"/>
  <c r="K24" i="5"/>
  <c r="K15" i="5"/>
  <c r="S24" i="5"/>
  <c r="B24" i="5"/>
  <c r="V30" i="5" l="1"/>
  <c r="AB30" i="5"/>
  <c r="AG30" i="5"/>
  <c r="B15" i="5"/>
  <c r="FU5" i="2" l="1"/>
  <c r="K21" i="11"/>
  <c r="FV5" i="2"/>
  <c r="Q21" i="11"/>
  <c r="FT5" i="2"/>
  <c r="F21" i="11"/>
  <c r="AL46" i="5"/>
  <c r="AL34" i="5"/>
  <c r="AL8" i="5"/>
  <c r="AL52" i="5"/>
  <c r="AL40" i="5"/>
  <c r="AL15" i="5"/>
  <c r="FW5" i="2" l="1"/>
  <c r="V16" i="11"/>
  <c r="B17" i="11" s="1"/>
  <c r="V15" i="11"/>
  <c r="B16" i="11" s="1"/>
  <c r="V19" i="11"/>
  <c r="J12" i="11" s="1"/>
  <c r="V23" i="11"/>
  <c r="J16" i="11" s="1"/>
  <c r="V28" i="11"/>
  <c r="V34" i="11"/>
  <c r="V38" i="11"/>
  <c r="V42" i="11"/>
  <c r="V46" i="11"/>
  <c r="V29" i="11"/>
  <c r="V43" i="11"/>
  <c r="V14" i="11"/>
  <c r="B15" i="11" s="1"/>
  <c r="V18" i="11"/>
  <c r="B19" i="11" s="1"/>
  <c r="V22" i="11"/>
  <c r="J15" i="11" s="1"/>
  <c r="V27" i="11"/>
  <c r="J19" i="11" s="1"/>
  <c r="V31" i="11"/>
  <c r="V37" i="11"/>
  <c r="V41" i="11"/>
  <c r="V45" i="11"/>
  <c r="V49" i="11"/>
  <c r="V24" i="11"/>
  <c r="J17" i="11" s="1"/>
  <c r="V39" i="11"/>
  <c r="V13" i="11"/>
  <c r="B14" i="11" s="1"/>
  <c r="V17" i="11"/>
  <c r="B18" i="11" s="1"/>
  <c r="V21" i="11"/>
  <c r="J14" i="11" s="1"/>
  <c r="V26" i="11"/>
  <c r="J18" i="11" s="1"/>
  <c r="V30" i="11"/>
  <c r="V36" i="11"/>
  <c r="V40" i="11"/>
  <c r="V44" i="11"/>
  <c r="V48" i="11"/>
  <c r="V12" i="11"/>
  <c r="B13" i="11" s="1"/>
  <c r="V20" i="11"/>
  <c r="J13" i="11" s="1"/>
  <c r="V35" i="11"/>
  <c r="V47" i="11"/>
  <c r="V11" i="11"/>
  <c r="B12" i="11" s="1"/>
  <c r="H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T1" i="1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K17" i="11" l="1"/>
  <c r="P17" i="11"/>
  <c r="L17" i="11"/>
  <c r="T5" i="2" s="1"/>
  <c r="AH5" i="2" l="1"/>
  <c r="V5" i="2"/>
  <c r="Z5" i="2"/>
  <c r="AD5" i="2"/>
  <c r="AF5" i="2"/>
  <c r="X5" i="2"/>
  <c r="AB5" i="2"/>
  <c r="AX5" i="2"/>
  <c r="CF5" i="2"/>
  <c r="DJ5" i="2"/>
  <c r="BX5" i="2"/>
  <c r="AL5" i="2"/>
  <c r="AZ5" i="2"/>
  <c r="AT5" i="2"/>
  <c r="FD5" i="2"/>
  <c r="EH5" i="2"/>
  <c r="DX5" i="2"/>
  <c r="DF5" i="2"/>
  <c r="EN5" i="2"/>
  <c r="CH5" i="2"/>
  <c r="AN5" i="2"/>
  <c r="EP5" i="2"/>
  <c r="CJ5" i="2"/>
  <c r="BL5" i="2"/>
  <c r="CD5" i="2"/>
  <c r="EV5" i="2"/>
  <c r="EF5" i="2"/>
  <c r="FB5" i="2"/>
  <c r="BH5" i="2"/>
  <c r="BF5" i="2"/>
  <c r="DL5" i="2"/>
  <c r="BJ5" i="2"/>
  <c r="BV5" i="2"/>
  <c r="DN5" i="2"/>
  <c r="BT5" i="2"/>
  <c r="BP5" i="2"/>
  <c r="DT5" i="2"/>
  <c r="BR5" i="2"/>
  <c r="CX5" i="2"/>
  <c r="DV5" i="2"/>
  <c r="CN5" i="2"/>
  <c r="EX5" i="2"/>
  <c r="BZ5" i="2"/>
  <c r="ET5" i="2"/>
  <c r="EZ5" i="2"/>
  <c r="CV5" i="2"/>
  <c r="CR5" i="2"/>
  <c r="FF5" i="2"/>
  <c r="CT5" i="2"/>
  <c r="AJ5" i="2"/>
  <c r="BN5" i="2"/>
  <c r="DD5" i="2"/>
  <c r="CZ5" i="2"/>
  <c r="AP5" i="2"/>
  <c r="CP5" i="2"/>
  <c r="DB5" i="2"/>
  <c r="AR5" i="2"/>
  <c r="ED5" i="2"/>
  <c r="EB5" i="2"/>
  <c r="DR5" i="2"/>
  <c r="DH5" i="2"/>
  <c r="EL5" i="2"/>
  <c r="DZ5" i="2"/>
  <c r="AV5" i="2"/>
  <c r="EJ5" i="2"/>
  <c r="CL5" i="2"/>
  <c r="DP5" i="2"/>
  <c r="BB5" i="2"/>
  <c r="CB5" i="2"/>
  <c r="BD5" i="2"/>
  <c r="ER5" i="2"/>
  <c r="Q16" i="11"/>
  <c r="I17" i="11"/>
  <c r="Q17" i="11"/>
  <c r="I15" i="11"/>
  <c r="I12" i="11"/>
  <c r="I16" i="11"/>
  <c r="Q15" i="11"/>
  <c r="Q12" i="11"/>
  <c r="Q14" i="11"/>
  <c r="AA15" i="5"/>
  <c r="I14" i="11"/>
  <c r="Q13" i="11"/>
  <c r="I13" i="11"/>
  <c r="J24" i="5"/>
  <c r="A15" i="5"/>
  <c r="S15" i="5"/>
  <c r="AA24" i="5"/>
  <c r="T25" i="5" l="1"/>
  <c r="N28" i="5" s="1"/>
  <c r="W28" i="5" s="1"/>
  <c r="FO5" i="2" l="1"/>
  <c r="E25" i="11"/>
  <c r="E26" i="11"/>
  <c r="FP5" i="2" l="1"/>
  <c r="W29" i="5"/>
  <c r="FR5" i="2" l="1"/>
  <c r="F34" i="11"/>
  <c r="AD29" i="5"/>
  <c r="FS5" i="2" l="1"/>
  <c r="F39" i="11"/>
  <c r="Q1" i="5"/>
  <c r="M2" i="11" s="1"/>
  <c r="Z3" i="11" s="1"/>
  <c r="Y3" i="11" s="1"/>
  <c r="AA13" i="11" l="1"/>
  <c r="AE13" i="11" s="1"/>
  <c r="AA12" i="11"/>
  <c r="AE12" i="11" s="1"/>
  <c r="AA14" i="11"/>
  <c r="AE14" i="11" s="1"/>
  <c r="AA4" i="11"/>
  <c r="AE4" i="11" s="1"/>
  <c r="AA9" i="11"/>
  <c r="AE9" i="11" s="1"/>
  <c r="AA19" i="11"/>
  <c r="AE19" i="11" s="1"/>
  <c r="AA7" i="11"/>
  <c r="AE7" i="11" s="1"/>
  <c r="AA21" i="11"/>
  <c r="AE21" i="11" s="1"/>
  <c r="AA20" i="11"/>
  <c r="AE20" i="11" s="1"/>
  <c r="AA10" i="11"/>
  <c r="AE10" i="11" s="1"/>
  <c r="AA5" i="11"/>
  <c r="AE5" i="11" s="1"/>
  <c r="AA17" i="11"/>
  <c r="AE17" i="11" s="1"/>
  <c r="AA6" i="11"/>
  <c r="AE6" i="11" s="1"/>
  <c r="AA8" i="11"/>
  <c r="AE8" i="11" s="1"/>
  <c r="AA16" i="11"/>
  <c r="AE16" i="11" s="1"/>
  <c r="AA11" i="11"/>
  <c r="AE11" i="11" s="1"/>
  <c r="AA15" i="11"/>
  <c r="AE15" i="11" s="1"/>
  <c r="AA18" i="11"/>
  <c r="AE18" i="11" s="1"/>
  <c r="AA3" i="11"/>
  <c r="C5" i="2"/>
  <c r="AE3" i="11" l="1"/>
  <c r="AJ1" i="11"/>
  <c r="AD1" i="11" l="1"/>
  <c r="B8" i="11" s="1"/>
  <c r="AK1" i="5"/>
</calcChain>
</file>

<file path=xl/sharedStrings.xml><?xml version="1.0" encoding="utf-8"?>
<sst xmlns="http://schemas.openxmlformats.org/spreadsheetml/2006/main" count="2800" uniqueCount="509">
  <si>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</si>
  <si>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</si>
  <si>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</si>
  <si>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</si>
  <si>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</si>
  <si>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</si>
  <si>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</si>
  <si>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</si>
  <si>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</si>
  <si>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</si>
  <si>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</si>
  <si>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</si>
  <si>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</si>
  <si>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</si>
  <si>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</si>
  <si>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</si>
  <si>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</si>
  <si>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</si>
  <si>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</si>
  <si>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</si>
  <si>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</si>
  <si>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</si>
  <si>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</si>
  <si>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</si>
  <si>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</si>
  <si>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</si>
  <si>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</si>
  <si>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</si>
  <si>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</si>
  <si>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</si>
  <si>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</si>
  <si>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</si>
  <si>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</si>
  <si>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</si>
  <si>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</si>
  <si>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</si>
  <si>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</si>
  <si>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</si>
  <si>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</si>
  <si>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</si>
  <si>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</si>
  <si>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</si>
  <si>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</si>
  <si>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</si>
  <si>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</si>
  <si>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</si>
  <si>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</si>
  <si>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</si>
  <si>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</si>
  <si>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</si>
  <si>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</si>
  <si>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</si>
  <si>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</si>
  <si>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</si>
  <si>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</si>
  <si>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</si>
  <si>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</si>
  <si>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</si>
  <si>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</si>
  <si>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</si>
  <si>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</si>
  <si>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</si>
  <si>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</si>
  <si>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</si>
  <si>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</si>
  <si>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</si>
  <si>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</si>
  <si>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</si>
  <si>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</si>
  <si>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</si>
  <si>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</si>
  <si>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</si>
  <si>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</si>
  <si>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</si>
  <si>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</si>
  <si>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</si>
  <si>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</si>
  <si>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</si>
  <si>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</si>
  <si>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</si>
  <si>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</si>
  <si>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</si>
  <si>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</si>
  <si>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</si>
  <si>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</si>
  <si>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</si>
  <si>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</si>
  <si>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</si>
  <si>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</si>
  <si>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</si>
  <si>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</si>
  <si>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</si>
  <si>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</si>
  <si>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</si>
  <si>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</si>
  <si>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</si>
  <si>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</si>
  <si>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</si>
  <si>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</si>
  <si>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</si>
  <si>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</si>
  <si>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</si>
  <si>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</si>
  <si>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</si>
  <si>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</si>
  <si>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</si>
  <si>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إعادة ارتباط</t>
  </si>
  <si>
    <t>تاريخ إعادة ارتباط</t>
  </si>
  <si>
    <t>تاريخ تدوير رسوم</t>
  </si>
  <si>
    <t>العاملين في وزارة التعليم العالي والمؤسسات والجامعات التابعة لها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</si>
  <si>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</si>
  <si>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</si>
  <si>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</si>
  <si>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</si>
  <si>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</si>
  <si>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</si>
  <si>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</si>
  <si>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</si>
  <si>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</si>
  <si>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</si>
  <si>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</si>
  <si>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</si>
  <si>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</si>
  <si>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</si>
  <si>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</si>
  <si>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</si>
  <si>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</si>
  <si>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القانون المدني (احكام الالتزام )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</si>
  <si>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</si>
  <si>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</si>
  <si>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</si>
  <si>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</si>
  <si>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</si>
  <si>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</si>
  <si>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 xml:space="preserve">المالية العامة 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</si>
  <si>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</si>
  <si>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</si>
  <si>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</si>
  <si>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</si>
  <si>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</si>
  <si>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</si>
  <si>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</si>
  <si>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</si>
  <si>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</si>
  <si>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</si>
  <si>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</si>
  <si>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</si>
  <si>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القانون الدولي الخاص 
(تنازع القوانين )</t>
  </si>
  <si>
    <t xml:space="preserve">أصول التنفيذ </t>
  </si>
  <si>
    <t xml:space="preserve">قانون العقوبات الخاص
 (جرائم على الاموال وجرائم اقتصادية) </t>
  </si>
  <si>
    <t>عقوبات خاص
 (جرائم على الادارة-المخلة بالثقة العامة )</t>
  </si>
  <si>
    <t xml:space="preserve">مصطلحات قانونية باللغة الاجنبية </t>
  </si>
  <si>
    <t>اللغة الأجنبية</t>
  </si>
  <si>
    <t>اكتب اسم المادة الاختيارية</t>
  </si>
  <si>
    <t>القضية الفلسطينية</t>
  </si>
  <si>
    <t>حقوق الإنسان</t>
  </si>
  <si>
    <t>النظم السياسية</t>
  </si>
  <si>
    <t>الحق في الحياة الخاصة</t>
  </si>
  <si>
    <t>علم الإجرام والعقاب</t>
  </si>
  <si>
    <t>مقدمة الاقتصاد</t>
  </si>
  <si>
    <t>السياسة المالي (1)</t>
  </si>
  <si>
    <t>قانون أحداث الجانحين</t>
  </si>
  <si>
    <t>الوظيفة العامة</t>
  </si>
  <si>
    <t>التأمينات الاجتماعية</t>
  </si>
  <si>
    <t>العقود الإدارية</t>
  </si>
  <si>
    <t>السياسة المالية (2)</t>
  </si>
  <si>
    <t>العلاقات الدولية (2)</t>
  </si>
  <si>
    <t>عقد الإيجار</t>
  </si>
  <si>
    <t>الإثبات في المواد المدنية</t>
  </si>
  <si>
    <t>القانون البحري والجوي</t>
  </si>
  <si>
    <t>قانون العقوبات العسكرية</t>
  </si>
  <si>
    <t>قانون العقوبات الاقتصادية</t>
  </si>
  <si>
    <t>الدبلوماسية</t>
  </si>
  <si>
    <t>الرقابة المالية</t>
  </si>
  <si>
    <t>الإدارة المحلية</t>
  </si>
  <si>
    <t>التأمين</t>
  </si>
  <si>
    <t>قانون ممارسة مهنة المحاماة</t>
  </si>
  <si>
    <t>عقود دولية</t>
  </si>
  <si>
    <t xml:space="preserve">الاختصاص القضائي الدولي </t>
  </si>
  <si>
    <t>اللغة الأجنبية (1)</t>
  </si>
  <si>
    <t>اللغة الأجنبية (2)</t>
  </si>
  <si>
    <t>يستفيد من الحسم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</si>
  <si>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</si>
  <si>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</si>
  <si>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</si>
  <si>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</si>
  <si>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</si>
  <si>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</si>
  <si>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</si>
  <si>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تملئ صفحة إدخال البيانات بالمعلومات المطلوبة وبشكل دقيق وصحيح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</si>
  <si>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</si>
  <si>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</si>
  <si>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</si>
  <si>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</si>
  <si>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</si>
  <si>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</si>
  <si>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الحاصلين على وثيقة وفاة من مكتب شؤون الشهداء والجرحى والمفقودين لأبناء المتوفيين  بالعمليات المشابهة للعمليات الحربية</t>
  </si>
  <si>
    <r>
      <t xml:space="preserve">ثم تسليم استمارة التسجيل مع إيصال المصرف إلى شؤون طلاب الدراسات القانونية - كلية الحقوق البناء القديم - الطابق الثاني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</si>
  <si>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محمد</t>
  </si>
  <si>
    <t>محمود</t>
  </si>
  <si>
    <t>علي</t>
  </si>
  <si>
    <t>احمد</t>
  </si>
  <si>
    <t>يوسف</t>
  </si>
  <si>
    <t>خالد</t>
  </si>
  <si>
    <t>حسين</t>
  </si>
  <si>
    <t>مريم</t>
  </si>
  <si>
    <t>عدنان</t>
  </si>
  <si>
    <t>وفاء</t>
  </si>
  <si>
    <t>سهام</t>
  </si>
  <si>
    <t>عمر</t>
  </si>
  <si>
    <t>سميره</t>
  </si>
  <si>
    <t>سامر</t>
  </si>
  <si>
    <t>وثيقة وفاة صادرة عن مكتب الشهداء</t>
  </si>
  <si>
    <t>رسم فصول الانقطاع</t>
  </si>
  <si>
    <t>ملاحظة: عن كل فصل انقطاع رسم /15000 ل.س/</t>
  </si>
  <si>
    <t>رسم المقررات</t>
  </si>
  <si>
    <t>رسم الانقطاع</t>
  </si>
  <si>
    <t xml:space="preserve">طابع مالي
 30  ل.س   </t>
  </si>
  <si>
    <t>طابع هلال احمر
25  ل .س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</si>
  <si>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</si>
  <si>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</si>
  <si>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</si>
  <si>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الفصل الأول من العام الدراسي 2020-2021</t>
  </si>
  <si>
    <t>الرقم</t>
  </si>
  <si>
    <t>ج</t>
  </si>
  <si>
    <t>ر1</t>
  </si>
  <si>
    <t>ر2</t>
  </si>
  <si>
    <t>العاملين في وزارة التعليم العالي والمؤسسات والجامعات التابعة لها وأبنائهم</t>
  </si>
  <si>
    <t>وثيقة وفاة  صادرة عن مكتب الشهداء</t>
  </si>
  <si>
    <t>العلاقات الدولية (1)</t>
  </si>
  <si>
    <t>رقم الإيقاف</t>
  </si>
  <si>
    <t>تدوير الرسوم</t>
  </si>
  <si>
    <t>أدخل الرقم الإمتحاني</t>
  </si>
  <si>
    <t>المحافظة</t>
  </si>
  <si>
    <t>الثانوية</t>
  </si>
  <si>
    <t>01</t>
  </si>
  <si>
    <t>العربية السورية</t>
  </si>
  <si>
    <t>الأولى</t>
  </si>
  <si>
    <t>02</t>
  </si>
  <si>
    <t>الفلسطينية السورية</t>
  </si>
  <si>
    <t>الأولى حديث</t>
  </si>
  <si>
    <t>03</t>
  </si>
  <si>
    <t>رقم الهاتف</t>
  </si>
  <si>
    <t>06</t>
  </si>
  <si>
    <t>الثانية</t>
  </si>
  <si>
    <t>04</t>
  </si>
  <si>
    <t>الأردنية</t>
  </si>
  <si>
    <t>الثانية حديث</t>
  </si>
  <si>
    <t>05</t>
  </si>
  <si>
    <t>سنة الشهادة</t>
  </si>
  <si>
    <t>محافظة الشهادة</t>
  </si>
  <si>
    <t>اللبنانية</t>
  </si>
  <si>
    <t>الثالثة</t>
  </si>
  <si>
    <t>العراقية</t>
  </si>
  <si>
    <t>الثالثة حديث</t>
  </si>
  <si>
    <t>07</t>
  </si>
  <si>
    <t>التونسية</t>
  </si>
  <si>
    <t>الرابعة</t>
  </si>
  <si>
    <t>08</t>
  </si>
  <si>
    <t xml:space="preserve">اليمنية </t>
  </si>
  <si>
    <t>الرابعة حديث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</si>
  <si>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</si>
  <si>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</si>
  <si>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</si>
  <si>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</si>
  <si>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</si>
  <si>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</si>
  <si>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</si>
  <si>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</si>
  <si>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</si>
  <si>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</si>
  <si>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</si>
  <si>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</si>
  <si>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</si>
  <si>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</si>
  <si>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</si>
  <si>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</si>
  <si>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</si>
  <si>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</si>
  <si>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</si>
  <si>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</si>
  <si>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</si>
  <si>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</si>
  <si>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</si>
  <si>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</si>
  <si>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</si>
  <si>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</si>
  <si>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</si>
  <si>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</si>
  <si>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الرقم الإمتحاني</t>
  </si>
  <si>
    <t>الاسم والنسبه</t>
  </si>
  <si>
    <t>محافظ الشهادة</t>
  </si>
  <si>
    <t>حاملي وسام بطل الجمهورية وأولادهم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</si>
  <si>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</si>
  <si>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</si>
  <si>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</si>
  <si>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</si>
  <si>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</si>
  <si>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مستنفذ</t>
  </si>
  <si>
    <t>الفصل الثاني من العام الدراسي 2020-2021</t>
  </si>
  <si>
    <t>الرسوم</t>
  </si>
  <si>
    <t>البيانات باللغة الإنكليزية</t>
  </si>
  <si>
    <t>رسم فصل الانقطاع</t>
  </si>
  <si>
    <t>رسم تسجيل سنوي</t>
  </si>
  <si>
    <t>السياسة المالية (1)</t>
  </si>
  <si>
    <t>أحداث الجانحين</t>
  </si>
  <si>
    <t>العلاقات الدولية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</si>
  <si>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</si>
  <si>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</si>
  <si>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</si>
  <si>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</si>
  <si>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</si>
  <si>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</si>
  <si>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</si>
  <si>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</si>
  <si>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</si>
  <si>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</si>
  <si>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فصول الانقطاع</t>
  </si>
  <si>
    <t>عند اختيار المقرر الذي ترغب باختياره يجب عليك أن تضع بجانب اسم المقرر بالعمود الأزرق رقم /1/</t>
  </si>
  <si>
    <t>عبد الرحمن</t>
  </si>
  <si>
    <t>مروان</t>
  </si>
  <si>
    <t>A</t>
  </si>
  <si>
    <t>كوثر</t>
  </si>
  <si>
    <t>سناء</t>
  </si>
  <si>
    <t>هدى</t>
  </si>
  <si>
    <t>نزهه</t>
  </si>
  <si>
    <t>فاطمه</t>
  </si>
  <si>
    <t>فريال</t>
  </si>
  <si>
    <t>هناء</t>
  </si>
  <si>
    <t>نهاد</t>
  </si>
  <si>
    <t>منال</t>
  </si>
  <si>
    <t>صالح</t>
  </si>
  <si>
    <t>بسام</t>
  </si>
  <si>
    <t>سمير</t>
  </si>
  <si>
    <t>رنا العلان</t>
  </si>
  <si>
    <t>عيسى</t>
  </si>
  <si>
    <t>افتكار</t>
  </si>
  <si>
    <t>نبيل</t>
  </si>
  <si>
    <t>محمد ديب</t>
  </si>
  <si>
    <t>ليلى</t>
  </si>
  <si>
    <t>عماد الدين</t>
  </si>
  <si>
    <t>اديب</t>
  </si>
  <si>
    <t>هيام</t>
  </si>
  <si>
    <t>محمد خير</t>
  </si>
  <si>
    <t>احمد اغواني</t>
  </si>
  <si>
    <t>إبراهيم</t>
  </si>
  <si>
    <t>هديه</t>
  </si>
  <si>
    <t>احمد القصير</t>
  </si>
  <si>
    <t>انعام</t>
  </si>
  <si>
    <t>احمد رعد</t>
  </si>
  <si>
    <t>مظهر</t>
  </si>
  <si>
    <t>نوال</t>
  </si>
  <si>
    <t>اخلاص يوسف</t>
  </si>
  <si>
    <t>عبد اللطيف</t>
  </si>
  <si>
    <t>اسامه الذياب</t>
  </si>
  <si>
    <t>وضحه</t>
  </si>
  <si>
    <t>اعتدال الحلبي</t>
  </si>
  <si>
    <t>قمر</t>
  </si>
  <si>
    <t>ايمان الحلاق</t>
  </si>
  <si>
    <t>رندا</t>
  </si>
  <si>
    <t>ايه البوشي</t>
  </si>
  <si>
    <t>اسرار</t>
  </si>
  <si>
    <t>ايه النادر</t>
  </si>
  <si>
    <t>صايل</t>
  </si>
  <si>
    <t>رابعه</t>
  </si>
  <si>
    <t>أناس غانم</t>
  </si>
  <si>
    <t>يعقوب</t>
  </si>
  <si>
    <t>عواطف</t>
  </si>
  <si>
    <t>باسل صالح</t>
  </si>
  <si>
    <t>نزار</t>
  </si>
  <si>
    <t>جابر الأحمد</t>
  </si>
  <si>
    <t>محسن</t>
  </si>
  <si>
    <t>جمال الهرايسي</t>
  </si>
  <si>
    <t>ثناء</t>
  </si>
  <si>
    <t>حنين الرشراش</t>
  </si>
  <si>
    <t>حيدره سليمان</t>
  </si>
  <si>
    <t>عصام</t>
  </si>
  <si>
    <t>عبير</t>
  </si>
  <si>
    <t>خزامى موسى</t>
  </si>
  <si>
    <t>ضحوك</t>
  </si>
  <si>
    <t>خلود مرعي</t>
  </si>
  <si>
    <t>سعاد</t>
  </si>
  <si>
    <t>دانا مرعشلي</t>
  </si>
  <si>
    <t>صفاء</t>
  </si>
  <si>
    <t>دلال شبلي</t>
  </si>
  <si>
    <t>حنان</t>
  </si>
  <si>
    <t>ديالا حمامي</t>
  </si>
  <si>
    <t>ياسر</t>
  </si>
  <si>
    <t>أحلام</t>
  </si>
  <si>
    <t>رحاب حلاس</t>
  </si>
  <si>
    <t>سامي</t>
  </si>
  <si>
    <t>بانية</t>
  </si>
  <si>
    <t>رحمة محمد</t>
  </si>
  <si>
    <t>عيداوي</t>
  </si>
  <si>
    <t>رغد ضحى</t>
  </si>
  <si>
    <t>اياد</t>
  </si>
  <si>
    <t>لميا</t>
  </si>
  <si>
    <t>رقية الهفل</t>
  </si>
  <si>
    <t>اسعد</t>
  </si>
  <si>
    <t>مها</t>
  </si>
  <si>
    <t>رنا النابلسي</t>
  </si>
  <si>
    <t>باسم</t>
  </si>
  <si>
    <t>رنيم المهاوش</t>
  </si>
  <si>
    <t>حمدة</t>
  </si>
  <si>
    <t>ريم العلي</t>
  </si>
  <si>
    <t>ريهام حافظ</t>
  </si>
  <si>
    <t>محمد عرفان</t>
  </si>
  <si>
    <t>زياد طياره</t>
  </si>
  <si>
    <t>عادل</t>
  </si>
  <si>
    <t>ساهير حجازي</t>
  </si>
  <si>
    <t>هنادي</t>
  </si>
  <si>
    <t>سلوى عنظوز</t>
  </si>
  <si>
    <t>محمد اكرم</t>
  </si>
  <si>
    <t>روضة</t>
  </si>
  <si>
    <t>سليم العبد</t>
  </si>
  <si>
    <t>كاسم</t>
  </si>
  <si>
    <t>سماره بولات</t>
  </si>
  <si>
    <t>محمد قاص</t>
  </si>
  <si>
    <t>سهى</t>
  </si>
  <si>
    <t>شيراز العسكر</t>
  </si>
  <si>
    <t>خضر</t>
  </si>
  <si>
    <t>جميلة</t>
  </si>
  <si>
    <t>عبد الرحمن المصري</t>
  </si>
  <si>
    <t>عزو</t>
  </si>
  <si>
    <t>علا احمد</t>
  </si>
  <si>
    <t>فاتن</t>
  </si>
  <si>
    <t>علاء الدين الرفاعي</t>
  </si>
  <si>
    <t>محمد رجب</t>
  </si>
  <si>
    <t>زهور</t>
  </si>
  <si>
    <t>علي العز الدين</t>
  </si>
  <si>
    <t>عمر عمر</t>
  </si>
  <si>
    <t>عمار</t>
  </si>
  <si>
    <t>غرام حماده</t>
  </si>
  <si>
    <t>ملك</t>
  </si>
  <si>
    <t>غفران الاغواني</t>
  </si>
  <si>
    <t>محمد محفوظ</t>
  </si>
  <si>
    <t>فاطمة الخلف</t>
  </si>
  <si>
    <t>نهيده</t>
  </si>
  <si>
    <t>فاطمة جحجاح</t>
  </si>
  <si>
    <t>مجيدة</t>
  </si>
  <si>
    <t>فاطمة علي</t>
  </si>
  <si>
    <t>عايشه</t>
  </si>
  <si>
    <t>فاطمه الخليفه</t>
  </si>
  <si>
    <t>عبود</t>
  </si>
  <si>
    <t>فرحة</t>
  </si>
  <si>
    <t>فاطمه حسون</t>
  </si>
  <si>
    <t>وفيقه</t>
  </si>
  <si>
    <t>فراس الكريان</t>
  </si>
  <si>
    <t>سليمان</t>
  </si>
  <si>
    <t>فطيم</t>
  </si>
  <si>
    <t>لميس الخلف</t>
  </si>
  <si>
    <t>فارس</t>
  </si>
  <si>
    <t>صيطه</t>
  </si>
  <si>
    <t>ليلاس عرقسوسي</t>
  </si>
  <si>
    <t>محمد حسن</t>
  </si>
  <si>
    <t>لين الخضر</t>
  </si>
  <si>
    <t>محمد ويس</t>
  </si>
  <si>
    <t>لينا البيات</t>
  </si>
  <si>
    <t>بثينه</t>
  </si>
  <si>
    <t>لينا المحمو</t>
  </si>
  <si>
    <t>وليد</t>
  </si>
  <si>
    <t>مايا نصر</t>
  </si>
  <si>
    <t>عفاف</t>
  </si>
  <si>
    <t>محمد ادريس</t>
  </si>
  <si>
    <t>محمد المطر</t>
  </si>
  <si>
    <t>محمد دهمان</t>
  </si>
  <si>
    <t>عميره</t>
  </si>
  <si>
    <t>محمد ربيع شعبان</t>
  </si>
  <si>
    <t>محمد عزيز عقاد</t>
  </si>
  <si>
    <t>نسرين</t>
  </si>
  <si>
    <t>محمد عمار السمان</t>
  </si>
  <si>
    <t>بهاء الدين</t>
  </si>
  <si>
    <t>محمد محمود</t>
  </si>
  <si>
    <t>محمد معاذ حمود</t>
  </si>
  <si>
    <t>محمد سمير</t>
  </si>
  <si>
    <t>مروة الببيلي</t>
  </si>
  <si>
    <t>معاذ بردان</t>
  </si>
  <si>
    <t>مأمون</t>
  </si>
  <si>
    <t>ريما</t>
  </si>
  <si>
    <t>منال أبو عاصي</t>
  </si>
  <si>
    <t>مزيد</t>
  </si>
  <si>
    <t>نجله</t>
  </si>
  <si>
    <t>مهنا الخلف</t>
  </si>
  <si>
    <t>نواف</t>
  </si>
  <si>
    <t>صبحيه</t>
  </si>
  <si>
    <t>مي وسوف</t>
  </si>
  <si>
    <t>روزين</t>
  </si>
  <si>
    <t>نور حمود</t>
  </si>
  <si>
    <t>وائل النجاد</t>
  </si>
  <si>
    <t>هيلين</t>
  </si>
  <si>
    <t>وجدي زيدان</t>
  </si>
  <si>
    <t>شاهينه</t>
  </si>
  <si>
    <t>وسام دياب الحمصي</t>
  </si>
  <si>
    <t>فواز</t>
  </si>
  <si>
    <t>خديجة</t>
  </si>
  <si>
    <t>ولاء شوربا</t>
  </si>
  <si>
    <t>هيثم</t>
  </si>
  <si>
    <t>ياسمين الصباغ</t>
  </si>
  <si>
    <t>سلوى</t>
  </si>
  <si>
    <t>يحيى العلي</t>
  </si>
  <si>
    <t>عائشه</t>
  </si>
  <si>
    <t>يوسف الحجي</t>
  </si>
  <si>
    <t>يازي</t>
  </si>
  <si>
    <t>يوسف سروجي</t>
  </si>
  <si>
    <t>الاولى</t>
  </si>
  <si>
    <t xml:space="preserve">الثانية </t>
  </si>
  <si>
    <t>إستمارة طالب النقل في برنامج الدراسات القانونية الفصل الأول للعام الدراسي 2025/2024</t>
  </si>
  <si>
    <t xml:space="preserve">                                                       المقررات المسجلة في الفصل الأول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</si>
  <si>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إرسال ملف الإستمارة (Excel ) عبر البريد الإلكتروني إلى العنوان التالي :
log.ol@hotmail.com 
ويجب أن يكون موضوع الإيميل هو الرقم الإمتحاني للطالب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</si>
</sst>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9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2"/>
      <name val="Arial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Arial"/>
      <family val="2"/>
      <scheme val="minor"/>
    </font>
    <font>
      <b/>
      <u/>
      <sz val="12"/>
      <color theme="10"/>
      <name val="Arial"/>
      <family val="2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Times New Roman"/>
      <family val="1"/>
      <scheme val="major"/>
    </font>
    <font>
      <b/>
      <sz val="13"/>
      <color rgb="FFFF0000"/>
      <name val="Arial"/>
      <family val="2"/>
      <scheme val="minor"/>
    </font>
    <font>
      <b/>
      <sz val="8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sz val="11"/>
      <color theme="5" tint="0.79998168889431442"/>
      <name val="Arial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b/>
      <sz val="12"/>
      <color theme="0"/>
      <name val="Sakkal Majalla"/>
    </font>
    <font>
      <b/>
      <sz val="12"/>
      <color theme="0"/>
      <name val="Arial"/>
      <family val="2"/>
      <scheme val="minor"/>
    </font>
    <font>
      <b/>
      <sz val="12"/>
      <color rgb="FFFF0000"/>
      <name val="Arial"/>
      <family val="2"/>
      <charset val="178"/>
    </font>
    <font>
      <b/>
      <sz val="11"/>
      <color theme="0"/>
      <name val="Arial"/>
      <family val="2"/>
      <scheme val="minor"/>
    </font>
    <font>
      <sz val="8"/>
      <name val="Arial"/>
      <family val="2"/>
      <scheme val="minor"/>
    </font>
    <font>
      <b/>
      <sz val="16"/>
      <color rgb="FF002060"/>
      <name val="Arial"/>
      <family val="2"/>
      <scheme val="minor"/>
    </font>
    <font>
      <b/>
      <sz val="12"/>
      <color rgb="FF002060"/>
      <name val="Arial"/>
      <family val="2"/>
    </font>
    <font>
      <b/>
      <sz val="12"/>
      <color rgb="FF002060"/>
      <name val="Arial"/>
      <family val="2"/>
      <scheme val="minor"/>
    </font>
    <font>
      <b/>
      <sz val="12"/>
      <color theme="1"/>
      <name val="Arial"/>
      <family val="2"/>
      <charset val="178"/>
      <scheme val="minor"/>
    </font>
    <font>
      <b/>
      <u/>
      <sz val="12"/>
      <name val="Arial"/>
      <family val="2"/>
    </font>
    <font>
      <b/>
      <u/>
      <sz val="12"/>
      <color rgb="FF0070C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Arial"/>
      <family val="2"/>
      <scheme val="minor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sz val="12"/>
      <color rgb="FFFF0000"/>
      <name val="Arial"/>
      <family val="2"/>
      <scheme val="minor"/>
    </font>
    <font>
      <sz val="11"/>
      <color rgb="FF0070C0"/>
      <name val="Arial"/>
      <family val="2"/>
      <scheme val="minor"/>
    </font>
    <font>
      <sz val="10"/>
      <color rgb="FF0070C0"/>
      <name val="Arial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thick">
        <color theme="0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ashed">
        <color indexed="64"/>
      </left>
      <right/>
      <top/>
      <bottom style="thin">
        <color theme="0"/>
      </bottom>
      <diagonal/>
    </border>
    <border>
      <left/>
      <right style="dashed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</cellStyleXfs>
  <cellXfs count="579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1" applyFont="1" applyFill="1" applyBorder="1" applyProtection="1"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right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vertical="center" textRotation="90"/>
      <protection hidden="1"/>
    </xf>
    <xf numFmtId="0" fontId="2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shrinkToFit="1"/>
      <protection hidden="1"/>
    </xf>
    <xf numFmtId="0" fontId="26" fillId="0" borderId="0" xfId="0" applyFont="1" applyProtection="1"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 textRotation="90"/>
      <protection hidden="1"/>
    </xf>
    <xf numFmtId="0" fontId="4" fillId="3" borderId="17" xfId="0" applyFont="1" applyFill="1" applyBorder="1" applyAlignment="1" applyProtection="1">
      <alignment horizontal="center" vertical="center"/>
      <protection hidden="1"/>
    </xf>
    <xf numFmtId="0" fontId="24" fillId="0" borderId="6" xfId="0" applyFont="1" applyBorder="1" applyProtection="1"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wrapText="1"/>
      <protection locked="0"/>
    </xf>
    <xf numFmtId="0" fontId="12" fillId="0" borderId="0" xfId="0" applyFont="1" applyProtection="1">
      <protection hidden="1"/>
    </xf>
    <xf numFmtId="0" fontId="27" fillId="4" borderId="4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49" fontId="0" fillId="5" borderId="26" xfId="0" applyNumberForma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5" fillId="3" borderId="19" xfId="0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43" fillId="21" borderId="0" xfId="0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 shrinkToFit="1"/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35" fillId="13" borderId="44" xfId="0" applyFont="1" applyFill="1" applyBorder="1" applyAlignment="1" applyProtection="1">
      <alignment horizontal="center" vertical="center"/>
      <protection hidden="1"/>
    </xf>
    <xf numFmtId="0" fontId="35" fillId="13" borderId="45" xfId="0" applyFont="1" applyFill="1" applyBorder="1" applyAlignment="1" applyProtection="1">
      <alignment horizontal="center" vertical="center"/>
      <protection hidden="1"/>
    </xf>
    <xf numFmtId="14" fontId="35" fillId="13" borderId="45" xfId="0" applyNumberFormat="1" applyFont="1" applyFill="1" applyBorder="1" applyAlignment="1" applyProtection="1">
      <alignment horizontal="center" vertical="center"/>
      <protection hidden="1"/>
    </xf>
    <xf numFmtId="0" fontId="36" fillId="13" borderId="44" xfId="0" applyFont="1" applyFill="1" applyBorder="1" applyAlignment="1" applyProtection="1">
      <alignment horizontal="center" vertical="center"/>
      <protection hidden="1"/>
    </xf>
    <xf numFmtId="0" fontId="36" fillId="13" borderId="45" xfId="0" applyFont="1" applyFill="1" applyBorder="1" applyAlignment="1" applyProtection="1">
      <alignment horizontal="center" vertical="center"/>
      <protection hidden="1"/>
    </xf>
    <xf numFmtId="14" fontId="36" fillId="13" borderId="45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7" fillId="14" borderId="46" xfId="0" applyFont="1" applyFill="1" applyBorder="1" applyAlignment="1" applyProtection="1">
      <alignment horizontal="center" vertical="center"/>
      <protection hidden="1"/>
    </xf>
    <xf numFmtId="0" fontId="37" fillId="14" borderId="47" xfId="0" applyFont="1" applyFill="1" applyBorder="1" applyAlignment="1" applyProtection="1">
      <alignment horizontal="center" vertical="center"/>
      <protection hidden="1"/>
    </xf>
    <xf numFmtId="14" fontId="37" fillId="14" borderId="47" xfId="0" applyNumberFormat="1" applyFont="1" applyFill="1" applyBorder="1" applyAlignment="1" applyProtection="1">
      <alignment horizontal="center" vertical="center"/>
      <protection hidden="1"/>
    </xf>
    <xf numFmtId="0" fontId="37" fillId="14" borderId="48" xfId="0" applyFont="1" applyFill="1" applyBorder="1" applyAlignment="1" applyProtection="1">
      <alignment horizontal="center" vertical="center"/>
      <protection hidden="1"/>
    </xf>
    <xf numFmtId="0" fontId="29" fillId="4" borderId="63" xfId="0" applyFont="1" applyFill="1" applyBorder="1" applyAlignment="1" applyProtection="1">
      <alignment horizontal="center" vertical="center"/>
      <protection hidden="1"/>
    </xf>
    <xf numFmtId="0" fontId="29" fillId="4" borderId="66" xfId="0" applyFont="1" applyFill="1" applyBorder="1" applyAlignment="1" applyProtection="1">
      <alignment horizontal="center" vertical="center"/>
      <protection hidden="1"/>
    </xf>
    <xf numFmtId="0" fontId="37" fillId="11" borderId="49" xfId="0" applyFont="1" applyFill="1" applyBorder="1" applyAlignment="1" applyProtection="1">
      <alignment horizontal="center" vertical="center"/>
      <protection hidden="1"/>
    </xf>
    <xf numFmtId="0" fontId="37" fillId="11" borderId="47" xfId="0" applyFont="1" applyFill="1" applyBorder="1" applyAlignment="1" applyProtection="1">
      <alignment horizontal="center" vertical="center"/>
      <protection hidden="1"/>
    </xf>
    <xf numFmtId="0" fontId="37" fillId="11" borderId="56" xfId="0" applyFont="1" applyFill="1" applyBorder="1" applyAlignment="1" applyProtection="1">
      <alignment horizontal="center" vertical="center"/>
      <protection hidden="1"/>
    </xf>
    <xf numFmtId="0" fontId="29" fillId="15" borderId="55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9" borderId="11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28" fillId="0" borderId="41" xfId="0" applyFont="1" applyBorder="1" applyAlignment="1" applyProtection="1">
      <alignment horizontal="center" vertical="center"/>
      <protection hidden="1"/>
    </xf>
    <xf numFmtId="0" fontId="24" fillId="6" borderId="74" xfId="0" applyFont="1" applyFill="1" applyBorder="1" applyAlignment="1" applyProtection="1">
      <alignment vertical="center" shrinkToFit="1"/>
      <protection hidden="1"/>
    </xf>
    <xf numFmtId="49" fontId="29" fillId="4" borderId="64" xfId="0" applyNumberFormat="1" applyFont="1" applyFill="1" applyBorder="1" applyAlignment="1" applyProtection="1">
      <alignment horizontal="center" vertical="center"/>
      <protection hidden="1"/>
    </xf>
    <xf numFmtId="0" fontId="51" fillId="6" borderId="0" xfId="0" applyFont="1" applyFill="1" applyAlignment="1" applyProtection="1">
      <alignment horizontal="center" vertical="center" textRotation="90"/>
      <protection hidden="1"/>
    </xf>
    <xf numFmtId="0" fontId="53" fillId="0" borderId="0" xfId="0" applyFont="1"/>
    <xf numFmtId="0" fontId="56" fillId="0" borderId="0" xfId="0" applyFont="1" applyAlignment="1">
      <alignment horizontal="center"/>
    </xf>
    <xf numFmtId="0" fontId="56" fillId="0" borderId="0" xfId="0" applyFont="1"/>
    <xf numFmtId="0" fontId="52" fillId="0" borderId="0" xfId="0" applyFont="1"/>
    <xf numFmtId="0" fontId="52" fillId="0" borderId="0" xfId="0" applyFont="1" applyAlignment="1">
      <alignment horizontal="center"/>
    </xf>
    <xf numFmtId="0" fontId="57" fillId="0" borderId="0" xfId="1" applyFont="1" applyFill="1" applyBorder="1" applyAlignment="1">
      <alignment vertical="center" wrapText="1"/>
    </xf>
    <xf numFmtId="0" fontId="57" fillId="0" borderId="0" xfId="1" applyFont="1" applyFill="1" applyAlignment="1"/>
    <xf numFmtId="0" fontId="12" fillId="0" borderId="53" xfId="0" applyFont="1" applyBorder="1" applyAlignment="1" applyProtection="1">
      <alignment vertical="center"/>
      <protection hidden="1"/>
    </xf>
    <xf numFmtId="0" fontId="4" fillId="5" borderId="5" xfId="0" applyFont="1" applyFill="1" applyBorder="1" applyAlignment="1" applyProtection="1">
      <alignment horizontal="center" vertical="center" shrinkToFit="1"/>
      <protection hidden="1"/>
    </xf>
    <xf numFmtId="0" fontId="12" fillId="0" borderId="43" xfId="0" applyFont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50" fillId="6" borderId="19" xfId="0" applyFont="1" applyFill="1" applyBorder="1" applyAlignment="1" applyProtection="1">
      <alignment vertical="center"/>
      <protection hidden="1"/>
    </xf>
    <xf numFmtId="0" fontId="27" fillId="7" borderId="10" xfId="0" applyFont="1" applyFill="1" applyBorder="1" applyAlignment="1" applyProtection="1">
      <alignment horizontal="center" vertical="center"/>
      <protection hidden="1"/>
    </xf>
    <xf numFmtId="0" fontId="50" fillId="6" borderId="9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vertical="center"/>
      <protection hidden="1"/>
    </xf>
    <xf numFmtId="0" fontId="12" fillId="0" borderId="18" xfId="0" applyFont="1" applyBorder="1" applyAlignment="1" applyProtection="1">
      <alignment vertical="center"/>
      <protection hidden="1"/>
    </xf>
    <xf numFmtId="0" fontId="12" fillId="0" borderId="1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 shrinkToFit="1"/>
      <protection hidden="1"/>
    </xf>
    <xf numFmtId="0" fontId="48" fillId="2" borderId="21" xfId="0" applyFont="1" applyFill="1" applyBorder="1" applyAlignment="1" applyProtection="1">
      <alignment horizontal="center" vertical="center" shrinkToFit="1"/>
      <protection hidden="1"/>
    </xf>
    <xf numFmtId="0" fontId="33" fillId="2" borderId="0" xfId="0" applyFont="1" applyFill="1" applyAlignment="1" applyProtection="1">
      <alignment horizontal="center" vertical="center" shrinkToFit="1"/>
      <protection hidden="1"/>
    </xf>
    <xf numFmtId="0" fontId="44" fillId="0" borderId="0" xfId="0" applyFont="1" applyAlignment="1" applyProtection="1">
      <alignment horizontal="center" vertical="center" shrinkToFit="1"/>
      <protection hidden="1"/>
    </xf>
    <xf numFmtId="0" fontId="33" fillId="0" borderId="20" xfId="0" applyFont="1" applyBorder="1" applyAlignment="1" applyProtection="1">
      <alignment horizontal="center" vertical="center" shrinkToFit="1"/>
      <protection hidden="1"/>
    </xf>
    <xf numFmtId="0" fontId="0" fillId="0" borderId="30" xfId="0" applyBorder="1" applyAlignment="1" applyProtection="1">
      <alignment horizontal="center" vertical="center" shrinkToFit="1"/>
      <protection hidden="1"/>
    </xf>
    <xf numFmtId="0" fontId="0" fillId="0" borderId="71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43" fillId="0" borderId="0" xfId="0" applyFont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28" fillId="13" borderId="0" xfId="0" applyFont="1" applyFill="1" applyAlignment="1" applyProtection="1">
      <alignment horizontal="center" vertical="center"/>
      <protection hidden="1"/>
    </xf>
    <xf numFmtId="0" fontId="28" fillId="13" borderId="0" xfId="0" applyFont="1" applyFill="1" applyProtection="1">
      <protection hidden="1"/>
    </xf>
    <xf numFmtId="0" fontId="14" fillId="13" borderId="0" xfId="0" applyFont="1" applyFill="1" applyProtection="1"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164" fontId="70" fillId="14" borderId="42" xfId="0" applyNumberFormat="1" applyFont="1" applyFill="1" applyBorder="1" applyAlignment="1" applyProtection="1">
      <alignment vertical="center"/>
      <protection hidden="1"/>
    </xf>
    <xf numFmtId="0" fontId="0" fillId="0" borderId="42" xfId="0" applyBorder="1" applyProtection="1">
      <protection hidden="1"/>
    </xf>
    <xf numFmtId="0" fontId="0" fillId="0" borderId="0" xfId="0" applyAlignment="1" applyProtection="1">
      <alignment shrinkToFit="1"/>
      <protection hidden="1"/>
    </xf>
    <xf numFmtId="0" fontId="4" fillId="5" borderId="35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4" fillId="3" borderId="109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3" borderId="112" xfId="0" applyFont="1" applyFill="1" applyBorder="1" applyAlignment="1" applyProtection="1">
      <alignment horizontal="center" vertical="center"/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164" fontId="70" fillId="3" borderId="42" xfId="0" applyNumberFormat="1" applyFont="1" applyFill="1" applyBorder="1" applyAlignment="1" applyProtection="1">
      <alignment vertical="center"/>
      <protection hidden="1"/>
    </xf>
    <xf numFmtId="0" fontId="4" fillId="3" borderId="114" xfId="0" applyFont="1" applyFill="1" applyBorder="1" applyAlignment="1" applyProtection="1">
      <alignment horizontal="center" vertical="center"/>
      <protection hidden="1"/>
    </xf>
    <xf numFmtId="0" fontId="5" fillId="3" borderId="115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27" fillId="25" borderId="37" xfId="0" applyFont="1" applyFill="1" applyBorder="1" applyAlignment="1" applyProtection="1">
      <alignment horizontal="center" vertical="center"/>
      <protection hidden="1"/>
    </xf>
    <xf numFmtId="0" fontId="27" fillId="25" borderId="3" xfId="0" applyFont="1" applyFill="1" applyBorder="1" applyAlignment="1" applyProtection="1">
      <alignment horizontal="center" vertical="center"/>
      <protection hidden="1"/>
    </xf>
    <xf numFmtId="0" fontId="27" fillId="25" borderId="4" xfId="0" applyFont="1" applyFill="1" applyBorder="1" applyAlignment="1" applyProtection="1">
      <alignment horizontal="center" vertical="center"/>
      <protection hidden="1"/>
    </xf>
    <xf numFmtId="0" fontId="0" fillId="25" borderId="105" xfId="0" applyFill="1" applyBorder="1" applyAlignment="1" applyProtection="1">
      <alignment horizontal="center" vertical="center"/>
      <protection hidden="1"/>
    </xf>
    <xf numFmtId="0" fontId="0" fillId="25" borderId="37" xfId="0" applyFill="1" applyBorder="1" applyAlignment="1" applyProtection="1">
      <alignment horizontal="center" vertical="center"/>
      <protection hidden="1"/>
    </xf>
    <xf numFmtId="0" fontId="0" fillId="25" borderId="3" xfId="0" applyFill="1" applyBorder="1" applyAlignment="1" applyProtection="1">
      <alignment horizontal="center" vertical="center"/>
      <protection hidden="1"/>
    </xf>
    <xf numFmtId="0" fontId="0" fillId="25" borderId="4" xfId="0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14" fillId="0" borderId="0" xfId="0" applyFont="1"/>
    <xf numFmtId="0" fontId="28" fillId="6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vertical="center" shrinkToFit="1"/>
      <protection hidden="1"/>
    </xf>
    <xf numFmtId="0" fontId="66" fillId="12" borderId="113" xfId="0" applyFont="1" applyFill="1" applyBorder="1" applyAlignment="1" applyProtection="1">
      <alignment vertical="center" shrinkToFit="1"/>
      <protection hidden="1"/>
    </xf>
    <xf numFmtId="0" fontId="42" fillId="26" borderId="113" xfId="0" applyFont="1" applyFill="1" applyBorder="1" applyAlignment="1" applyProtection="1">
      <alignment vertical="center" shrinkToFit="1"/>
      <protection hidden="1"/>
    </xf>
    <xf numFmtId="0" fontId="65" fillId="12" borderId="113" xfId="0" applyFont="1" applyFill="1" applyBorder="1" applyAlignment="1" applyProtection="1">
      <alignment vertical="center" shrinkToFit="1"/>
      <protection hidden="1"/>
    </xf>
    <xf numFmtId="0" fontId="75" fillId="6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0" applyFont="1" applyFill="1" applyBorder="1" applyAlignment="1" applyProtection="1">
      <alignment vertical="center" shrinkToFit="1"/>
      <protection hidden="1"/>
    </xf>
    <xf numFmtId="0" fontId="42" fillId="12" borderId="113" xfId="0" applyFont="1" applyFill="1" applyBorder="1" applyAlignment="1" applyProtection="1">
      <alignment vertical="center" shrinkToFit="1"/>
      <protection hidden="1"/>
    </xf>
    <xf numFmtId="0" fontId="24" fillId="6" borderId="113" xfId="0" applyFont="1" applyFill="1" applyBorder="1" applyAlignment="1" applyProtection="1">
      <alignment horizontal="center" vertical="center" shrinkToFit="1"/>
      <protection hidden="1"/>
    </xf>
    <xf numFmtId="49" fontId="7" fillId="3" borderId="113" xfId="0" applyNumberFormat="1" applyFont="1" applyFill="1" applyBorder="1" applyAlignment="1" applyProtection="1">
      <alignment vertical="center" shrinkToFit="1"/>
      <protection hidden="1"/>
    </xf>
    <xf numFmtId="0" fontId="42" fillId="12" borderId="113" xfId="0" applyFont="1" applyFill="1" applyBorder="1" applyAlignment="1" applyProtection="1">
      <alignment horizontal="center" vertical="center" shrinkToFit="1"/>
      <protection hidden="1"/>
    </xf>
    <xf numFmtId="0" fontId="66" fillId="0" borderId="113" xfId="0" applyFont="1" applyBorder="1" applyAlignment="1" applyProtection="1">
      <alignment horizontal="center" vertical="center" shrinkToFit="1"/>
      <protection hidden="1"/>
    </xf>
    <xf numFmtId="14" fontId="29" fillId="0" borderId="113" xfId="0" applyNumberFormat="1" applyFont="1" applyBorder="1" applyAlignment="1" applyProtection="1">
      <alignment vertical="center" shrinkToFit="1"/>
      <protection hidden="1"/>
    </xf>
    <xf numFmtId="0" fontId="77" fillId="0" borderId="76" xfId="0" applyFont="1" applyBorder="1" applyAlignment="1">
      <alignment horizontal="center" vertical="center"/>
    </xf>
    <xf numFmtId="0" fontId="31" fillId="11" borderId="25" xfId="0" applyFont="1" applyFill="1" applyBorder="1" applyAlignment="1">
      <alignment horizontal="center" vertical="center"/>
    </xf>
    <xf numFmtId="0" fontId="31" fillId="11" borderId="24" xfId="0" applyFont="1" applyFill="1" applyBorder="1" applyAlignment="1">
      <alignment horizontal="center" vertical="center"/>
    </xf>
    <xf numFmtId="49" fontId="79" fillId="0" borderId="0" xfId="0" applyNumberFormat="1" applyFont="1" applyAlignment="1">
      <alignment shrinkToFit="1"/>
    </xf>
    <xf numFmtId="0" fontId="0" fillId="5" borderId="26" xfId="0" applyFill="1" applyBorder="1" applyAlignment="1">
      <alignment wrapText="1"/>
    </xf>
    <xf numFmtId="0" fontId="0" fillId="0" borderId="0" xfId="0" applyAlignment="1">
      <alignment wrapText="1"/>
    </xf>
    <xf numFmtId="49" fontId="31" fillId="11" borderId="25" xfId="0" applyNumberFormat="1" applyFont="1" applyFill="1" applyBorder="1" applyAlignment="1">
      <alignment horizontal="center" vertical="center"/>
    </xf>
    <xf numFmtId="0" fontId="12" fillId="0" borderId="0" xfId="0" applyFont="1"/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0" fontId="2" fillId="0" borderId="14" xfId="0" applyFont="1" applyBorder="1" applyAlignment="1" applyProtection="1">
      <alignment horizontal="right" vertical="center" shrinkToFit="1"/>
      <protection hidden="1"/>
    </xf>
    <xf numFmtId="0" fontId="81" fillId="0" borderId="15" xfId="0" applyFont="1" applyBorder="1" applyAlignment="1" applyProtection="1">
      <alignment horizontal="right" vertical="center" shrinkToFit="1"/>
      <protection hidden="1"/>
    </xf>
    <xf numFmtId="0" fontId="47" fillId="16" borderId="0" xfId="0" applyFont="1" applyFill="1" applyAlignment="1" applyProtection="1">
      <alignment horizontal="center" vertical="center" wrapText="1"/>
      <protection hidden="1"/>
    </xf>
    <xf numFmtId="0" fontId="0" fillId="26" borderId="0" xfId="0" applyFill="1" applyAlignment="1" applyProtection="1">
      <alignment horizontal="center" vertical="center"/>
      <protection hidden="1"/>
    </xf>
    <xf numFmtId="0" fontId="0" fillId="26" borderId="0" xfId="0" applyFill="1" applyProtection="1">
      <protection hidden="1"/>
    </xf>
    <xf numFmtId="0" fontId="0" fillId="26" borderId="0" xfId="0" applyFill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vertical="center" shrinkToFit="1"/>
      <protection hidden="1"/>
    </xf>
    <xf numFmtId="0" fontId="82" fillId="0" borderId="14" xfId="0" applyFont="1" applyBorder="1" applyAlignment="1" applyProtection="1">
      <alignment horizontal="center" vertical="center" shrinkToFit="1"/>
      <protection hidden="1"/>
    </xf>
    <xf numFmtId="0" fontId="82" fillId="0" borderId="0" xfId="0" applyFont="1" applyAlignment="1" applyProtection="1">
      <alignment shrinkToFit="1"/>
      <protection hidden="1"/>
    </xf>
    <xf numFmtId="0" fontId="82" fillId="3" borderId="14" xfId="0" applyFont="1" applyFill="1" applyBorder="1" applyAlignment="1" applyProtection="1">
      <alignment vertical="center" shrinkToFit="1"/>
      <protection hidden="1"/>
    </xf>
    <xf numFmtId="0" fontId="82" fillId="3" borderId="73" xfId="0" applyFont="1" applyFill="1" applyBorder="1" applyAlignment="1" applyProtection="1">
      <alignment vertical="center" shrinkToFit="1"/>
      <protection hidden="1"/>
    </xf>
    <xf numFmtId="0" fontId="81" fillId="23" borderId="0" xfId="0" applyFont="1" applyFill="1" applyAlignment="1" applyProtection="1">
      <alignment horizontal="center" vertical="center" shrinkToFit="1"/>
      <protection hidden="1"/>
    </xf>
    <xf numFmtId="164" fontId="81" fillId="23" borderId="0" xfId="0" applyNumberFormat="1" applyFont="1" applyFill="1" applyAlignment="1" applyProtection="1">
      <alignment horizontal="center" vertical="center" shrinkToFit="1"/>
      <protection hidden="1"/>
    </xf>
    <xf numFmtId="164" fontId="81" fillId="23" borderId="104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30" fillId="17" borderId="0" xfId="0" applyFont="1" applyFill="1" applyAlignment="1" applyProtection="1">
      <alignment horizontal="center" vertical="center"/>
      <protection hidden="1"/>
    </xf>
    <xf numFmtId="0" fontId="42" fillId="20" borderId="0" xfId="0" applyFont="1" applyFill="1" applyAlignment="1" applyProtection="1">
      <alignment vertical="center"/>
      <protection hidden="1"/>
    </xf>
    <xf numFmtId="0" fontId="86" fillId="3" borderId="135" xfId="0" applyFont="1" applyFill="1" applyBorder="1" applyAlignment="1">
      <alignment horizontal="center" vertical="center"/>
    </xf>
    <xf numFmtId="0" fontId="86" fillId="3" borderId="26" xfId="0" applyFont="1" applyFill="1" applyBorder="1" applyAlignment="1">
      <alignment horizontal="center" vertical="center"/>
    </xf>
    <xf numFmtId="1" fontId="86" fillId="3" borderId="136" xfId="0" applyNumberFormat="1" applyFont="1" applyFill="1" applyBorder="1" applyAlignment="1">
      <alignment horizontal="center"/>
    </xf>
    <xf numFmtId="0" fontId="86" fillId="3" borderId="136" xfId="0" applyFont="1" applyFill="1" applyBorder="1" applyAlignment="1">
      <alignment horizontal="center"/>
    </xf>
    <xf numFmtId="0" fontId="86" fillId="3" borderId="135" xfId="0" applyFont="1" applyFill="1" applyBorder="1" applyAlignment="1">
      <alignment horizontal="center"/>
    </xf>
    <xf numFmtId="0" fontId="86" fillId="3" borderId="26" xfId="0" applyFont="1" applyFill="1" applyBorder="1" applyAlignment="1">
      <alignment horizontal="center"/>
    </xf>
    <xf numFmtId="0" fontId="87" fillId="3" borderId="26" xfId="0" applyFont="1" applyFill="1" applyBorder="1" applyAlignment="1">
      <alignment horizontal="center"/>
    </xf>
    <xf numFmtId="0" fontId="86" fillId="3" borderId="26" xfId="0" applyFont="1" applyFill="1" applyBorder="1"/>
    <xf numFmtId="0" fontId="86" fillId="3" borderId="13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27" fillId="0" borderId="37" xfId="0" applyFont="1" applyBorder="1" applyAlignment="1" applyProtection="1">
      <alignment horizontal="center" vertical="center"/>
      <protection hidden="1"/>
    </xf>
    <xf numFmtId="0" fontId="27" fillId="0" borderId="110" xfId="0" applyFont="1" applyBorder="1" applyAlignment="1" applyProtection="1">
      <alignment horizontal="center" vertical="center"/>
      <protection hidden="1"/>
    </xf>
    <xf numFmtId="0" fontId="12" fillId="0" borderId="111" xfId="0" applyFont="1" applyBorder="1" applyAlignment="1" applyProtection="1">
      <alignment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2" fillId="13" borderId="113" xfId="0" applyFont="1" applyFill="1" applyBorder="1" applyAlignment="1" applyProtection="1">
      <alignment horizontal="center" vertical="center" shrinkToFit="1"/>
      <protection hidden="1"/>
    </xf>
    <xf numFmtId="0" fontId="32" fillId="12" borderId="7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shrinkToFit="1"/>
      <protection hidden="1"/>
    </xf>
    <xf numFmtId="0" fontId="89" fillId="0" borderId="0" xfId="0" applyFont="1" applyAlignment="1" applyProtection="1">
      <alignment vertical="center" shrinkToFit="1"/>
      <protection hidden="1"/>
    </xf>
    <xf numFmtId="0" fontId="88" fillId="0" borderId="0" xfId="0" applyFont="1" applyProtection="1">
      <protection hidden="1"/>
    </xf>
    <xf numFmtId="0" fontId="2" fillId="0" borderId="72" xfId="0" applyFont="1" applyBorder="1" applyAlignment="1" applyProtection="1">
      <alignment vertical="center" textRotation="90"/>
      <protection hidden="1"/>
    </xf>
    <xf numFmtId="0" fontId="2" fillId="0" borderId="72" xfId="0" applyFont="1" applyBorder="1" applyAlignment="1" applyProtection="1">
      <alignment horizontal="center" vertical="top"/>
      <protection hidden="1"/>
    </xf>
    <xf numFmtId="0" fontId="82" fillId="0" borderId="72" xfId="0" applyFont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 shrinkToFit="1"/>
      <protection hidden="1"/>
    </xf>
    <xf numFmtId="0" fontId="27" fillId="25" borderId="13" xfId="0" applyFont="1" applyFill="1" applyBorder="1" applyAlignment="1" applyProtection="1">
      <alignment horizontal="center" vertical="center"/>
      <protection hidden="1"/>
    </xf>
    <xf numFmtId="0" fontId="27" fillId="0" borderId="13" xfId="0" applyFont="1" applyBorder="1" applyAlignment="1" applyProtection="1">
      <alignment horizontal="center" vertical="center"/>
      <protection hidden="1"/>
    </xf>
    <xf numFmtId="0" fontId="27" fillId="4" borderId="150" xfId="0" applyFont="1" applyFill="1" applyBorder="1" applyAlignment="1" applyProtection="1">
      <alignment horizontal="center" vertical="center"/>
      <protection hidden="1"/>
    </xf>
    <xf numFmtId="0" fontId="27" fillId="25" borderId="16" xfId="0" applyFont="1" applyFill="1" applyBorder="1" applyAlignment="1" applyProtection="1">
      <alignment horizontal="center" vertical="center"/>
      <protection hidden="1"/>
    </xf>
    <xf numFmtId="0" fontId="73" fillId="13" borderId="0" xfId="0" applyFont="1" applyFill="1" applyAlignment="1" applyProtection="1">
      <alignment horizontal="center" vertical="center"/>
      <protection hidden="1"/>
    </xf>
    <xf numFmtId="0" fontId="7" fillId="13" borderId="0" xfId="0" applyFont="1" applyFill="1" applyAlignment="1" applyProtection="1">
      <alignment vertical="center" shrinkToFit="1"/>
      <protection hidden="1"/>
    </xf>
    <xf numFmtId="0" fontId="67" fillId="13" borderId="0" xfId="0" applyFont="1" applyFill="1" applyAlignment="1" applyProtection="1">
      <alignment vertical="center" shrinkToFit="1"/>
      <protection hidden="1"/>
    </xf>
    <xf numFmtId="0" fontId="66" fillId="13" borderId="0" xfId="0" applyFont="1" applyFill="1" applyAlignment="1" applyProtection="1">
      <alignment vertical="center" shrinkToFit="1"/>
      <protection hidden="1"/>
    </xf>
    <xf numFmtId="0" fontId="34" fillId="13" borderId="0" xfId="0" applyFont="1" applyFill="1" applyProtection="1">
      <protection hidden="1"/>
    </xf>
    <xf numFmtId="0" fontId="0" fillId="13" borderId="0" xfId="0" applyFill="1" applyProtection="1">
      <protection hidden="1"/>
    </xf>
    <xf numFmtId="0" fontId="29" fillId="4" borderId="65" xfId="0" applyFont="1" applyFill="1" applyBorder="1" applyAlignment="1" applyProtection="1">
      <alignment horizontal="center" vertical="center" wrapText="1"/>
      <protection hidden="1"/>
    </xf>
    <xf numFmtId="0" fontId="27" fillId="7" borderId="151" xfId="0" applyFont="1" applyFill="1" applyBorder="1" applyAlignment="1" applyProtection="1">
      <alignment horizontal="center" vertical="center"/>
      <protection locked="0" hidden="1"/>
    </xf>
    <xf numFmtId="0" fontId="27" fillId="7" borderId="152" xfId="0" applyFont="1" applyFill="1" applyBorder="1" applyAlignment="1" applyProtection="1">
      <alignment horizontal="center" vertical="center"/>
      <protection locked="0" hidden="1"/>
    </xf>
    <xf numFmtId="0" fontId="27" fillId="0" borderId="153" xfId="0" applyFont="1" applyBorder="1" applyAlignment="1" applyProtection="1">
      <alignment horizontal="center" vertical="center"/>
      <protection hidden="1"/>
    </xf>
    <xf numFmtId="165" fontId="7" fillId="3" borderId="113" xfId="0" applyNumberFormat="1" applyFont="1" applyFill="1" applyBorder="1" applyAlignment="1" applyProtection="1">
      <alignment vertical="center" shrinkToFit="1"/>
      <protection locked="0" hidden="1"/>
    </xf>
    <xf numFmtId="0" fontId="34" fillId="28" borderId="26" xfId="0" applyFont="1" applyFill="1" applyBorder="1" applyAlignment="1" applyProtection="1">
      <alignment horizontal="center" vertical="center"/>
      <protection locked="0"/>
    </xf>
    <xf numFmtId="0" fontId="34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Protection="1">
      <protection locked="0"/>
    </xf>
    <xf numFmtId="165" fontId="14" fillId="0" borderId="0" xfId="0" applyNumberFormat="1" applyFont="1" applyProtection="1"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/>
    <xf numFmtId="14" fontId="0" fillId="5" borderId="26" xfId="0" applyNumberFormat="1" applyFill="1" applyBorder="1" applyAlignment="1" applyProtection="1">
      <alignment wrapText="1"/>
      <protection locked="0"/>
    </xf>
    <xf numFmtId="0" fontId="90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1" fillId="0" borderId="26" xfId="0" applyFont="1" applyBorder="1" applyAlignment="1">
      <alignment horizontal="center" vertical="center"/>
    </xf>
    <xf numFmtId="165" fontId="92" fillId="5" borderId="154" xfId="0" applyNumberFormat="1" applyFont="1" applyFill="1" applyBorder="1" applyAlignment="1" applyProtection="1">
      <alignment horizontal="center" vertical="center" shrinkToFit="1"/>
      <protection hidden="1"/>
    </xf>
    <xf numFmtId="0" fontId="92" fillId="5" borderId="155" xfId="0" applyFont="1" applyFill="1" applyBorder="1" applyAlignment="1" applyProtection="1">
      <alignment horizontal="center" vertical="center" shrinkToFit="1"/>
      <protection hidden="1"/>
    </xf>
    <xf numFmtId="0" fontId="93" fillId="26" borderId="0" xfId="0" applyFont="1" applyFill="1" applyAlignment="1" applyProtection="1">
      <alignment horizontal="center" vertical="center"/>
      <protection hidden="1"/>
    </xf>
    <xf numFmtId="0" fontId="93" fillId="26" borderId="0" xfId="0" applyFont="1" applyFill="1" applyProtection="1">
      <protection hidden="1"/>
    </xf>
    <xf numFmtId="0" fontId="93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58" fillId="13" borderId="81" xfId="0" applyFont="1" applyFill="1" applyBorder="1" applyAlignment="1">
      <alignment horizontal="right" wrapText="1"/>
    </xf>
    <xf numFmtId="0" fontId="58" fillId="13" borderId="54" xfId="0" applyFont="1" applyFill="1" applyBorder="1" applyAlignment="1">
      <alignment horizontal="right" wrapText="1"/>
    </xf>
    <xf numFmtId="0" fontId="58" fillId="13" borderId="82" xfId="0" applyFont="1" applyFill="1" applyBorder="1" applyAlignment="1">
      <alignment horizontal="right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 wrapText="1"/>
    </xf>
    <xf numFmtId="0" fontId="55" fillId="0" borderId="0" xfId="0" applyFont="1" applyAlignment="1">
      <alignment horizontal="center"/>
    </xf>
    <xf numFmtId="0" fontId="58" fillId="13" borderId="75" xfId="0" applyFont="1" applyFill="1" applyBorder="1" applyAlignment="1">
      <alignment horizontal="center" wrapText="1"/>
    </xf>
    <xf numFmtId="0" fontId="58" fillId="13" borderId="0" xfId="0" applyFont="1" applyFill="1" applyAlignment="1">
      <alignment horizontal="center" wrapText="1"/>
    </xf>
    <xf numFmtId="0" fontId="58" fillId="13" borderId="9" xfId="0" applyFont="1" applyFill="1" applyBorder="1" applyAlignment="1">
      <alignment horizontal="center" wrapText="1"/>
    </xf>
    <xf numFmtId="0" fontId="58" fillId="13" borderId="100" xfId="0" applyFont="1" applyFill="1" applyBorder="1" applyAlignment="1">
      <alignment horizontal="right" vertical="center"/>
    </xf>
    <xf numFmtId="0" fontId="58" fillId="13" borderId="101" xfId="0" applyFont="1" applyFill="1" applyBorder="1" applyAlignment="1">
      <alignment horizontal="right" vertical="center"/>
    </xf>
    <xf numFmtId="0" fontId="58" fillId="13" borderId="102" xfId="0" applyFont="1" applyFill="1" applyBorder="1" applyAlignment="1">
      <alignment horizontal="right" vertical="center"/>
    </xf>
    <xf numFmtId="9" fontId="58" fillId="13" borderId="92" xfId="0" applyNumberFormat="1" applyFont="1" applyFill="1" applyBorder="1" applyAlignment="1">
      <alignment horizontal="right" vertical="center"/>
    </xf>
    <xf numFmtId="0" fontId="58" fillId="13" borderId="93" xfId="0" applyFont="1" applyFill="1" applyBorder="1" applyAlignment="1">
      <alignment horizontal="right" vertical="center"/>
    </xf>
    <xf numFmtId="0" fontId="58" fillId="13" borderId="81" xfId="0" applyFont="1" applyFill="1" applyBorder="1" applyAlignment="1">
      <alignment horizontal="center"/>
    </xf>
    <xf numFmtId="0" fontId="58" fillId="13" borderId="54" xfId="0" applyFont="1" applyFill="1" applyBorder="1" applyAlignment="1">
      <alignment horizontal="center"/>
    </xf>
    <xf numFmtId="0" fontId="59" fillId="13" borderId="54" xfId="1" applyFont="1" applyFill="1" applyBorder="1" applyAlignment="1">
      <alignment horizontal="center"/>
    </xf>
    <xf numFmtId="0" fontId="59" fillId="13" borderId="82" xfId="1" applyFont="1" applyFill="1" applyBorder="1" applyAlignment="1">
      <alignment horizontal="center"/>
    </xf>
    <xf numFmtId="0" fontId="58" fillId="13" borderId="98" xfId="0" applyFont="1" applyFill="1" applyBorder="1" applyAlignment="1">
      <alignment horizontal="right" vertical="center"/>
    </xf>
    <xf numFmtId="0" fontId="58" fillId="13" borderId="77" xfId="0" applyFont="1" applyFill="1" applyBorder="1" applyAlignment="1">
      <alignment horizontal="right" vertical="center"/>
    </xf>
    <xf numFmtId="0" fontId="58" fillId="13" borderId="99" xfId="0" applyFont="1" applyFill="1" applyBorder="1" applyAlignment="1">
      <alignment horizontal="right" vertical="center"/>
    </xf>
    <xf numFmtId="9" fontId="58" fillId="13" borderId="90" xfId="0" applyNumberFormat="1" applyFont="1" applyFill="1" applyBorder="1" applyAlignment="1">
      <alignment horizontal="right" vertical="center" wrapText="1"/>
    </xf>
    <xf numFmtId="0" fontId="58" fillId="13" borderId="91" xfId="0" applyFont="1" applyFill="1" applyBorder="1" applyAlignment="1">
      <alignment horizontal="right" vertical="center" wrapText="1"/>
    </xf>
    <xf numFmtId="0" fontId="58" fillId="13" borderId="98" xfId="0" applyFont="1" applyFill="1" applyBorder="1" applyAlignment="1">
      <alignment horizontal="right" wrapText="1"/>
    </xf>
    <xf numFmtId="0" fontId="58" fillId="13" borderId="77" xfId="0" applyFont="1" applyFill="1" applyBorder="1" applyAlignment="1">
      <alignment horizontal="right" wrapText="1"/>
    </xf>
    <xf numFmtId="0" fontId="58" fillId="13" borderId="99" xfId="0" applyFont="1" applyFill="1" applyBorder="1" applyAlignment="1">
      <alignment horizontal="right" wrapText="1"/>
    </xf>
    <xf numFmtId="9" fontId="58" fillId="13" borderId="90" xfId="0" applyNumberFormat="1" applyFont="1" applyFill="1" applyBorder="1" applyAlignment="1">
      <alignment horizontal="right" readingOrder="1"/>
    </xf>
    <xf numFmtId="0" fontId="58" fillId="13" borderId="91" xfId="0" applyFont="1" applyFill="1" applyBorder="1" applyAlignment="1">
      <alignment horizontal="right" readingOrder="1"/>
    </xf>
    <xf numFmtId="0" fontId="58" fillId="13" borderId="75" xfId="0" applyFont="1" applyFill="1" applyBorder="1" applyAlignment="1">
      <alignment horizontal="center" vertical="center" wrapText="1"/>
    </xf>
    <xf numFmtId="0" fontId="58" fillId="13" borderId="0" xfId="0" applyFont="1" applyFill="1" applyAlignment="1">
      <alignment horizontal="center" vertical="center" wrapText="1"/>
    </xf>
    <xf numFmtId="0" fontId="58" fillId="13" borderId="98" xfId="0" applyFont="1" applyFill="1" applyBorder="1" applyAlignment="1">
      <alignment horizontal="right"/>
    </xf>
    <xf numFmtId="0" fontId="58" fillId="13" borderId="77" xfId="0" applyFont="1" applyFill="1" applyBorder="1" applyAlignment="1">
      <alignment horizontal="right"/>
    </xf>
    <xf numFmtId="0" fontId="58" fillId="13" borderId="99" xfId="0" applyFont="1" applyFill="1" applyBorder="1" applyAlignment="1">
      <alignment horizontal="right"/>
    </xf>
    <xf numFmtId="9" fontId="58" fillId="13" borderId="90" xfId="0" applyNumberFormat="1" applyFont="1" applyFill="1" applyBorder="1" applyAlignment="1">
      <alignment horizontal="right" vertical="center"/>
    </xf>
    <xf numFmtId="0" fontId="58" fillId="13" borderId="91" xfId="0" applyFont="1" applyFill="1" applyBorder="1" applyAlignment="1">
      <alignment horizontal="right" vertical="center"/>
    </xf>
    <xf numFmtId="0" fontId="58" fillId="13" borderId="89" xfId="0" applyFont="1" applyFill="1" applyBorder="1" applyAlignment="1">
      <alignment horizontal="right" vertical="center" wrapText="1"/>
    </xf>
    <xf numFmtId="0" fontId="58" fillId="13" borderId="90" xfId="0" applyFont="1" applyFill="1" applyBorder="1" applyAlignment="1">
      <alignment horizontal="right" vertical="center" wrapText="1"/>
    </xf>
    <xf numFmtId="9" fontId="58" fillId="13" borderId="90" xfId="0" applyNumberFormat="1" applyFont="1" applyFill="1" applyBorder="1" applyAlignment="1">
      <alignment horizontal="right"/>
    </xf>
    <xf numFmtId="0" fontId="58" fillId="13" borderId="91" xfId="0" applyFont="1" applyFill="1" applyBorder="1" applyAlignment="1">
      <alignment horizontal="right"/>
    </xf>
    <xf numFmtId="0" fontId="58" fillId="13" borderId="90" xfId="0" applyFont="1" applyFill="1" applyBorder="1" applyAlignment="1">
      <alignment horizontal="right"/>
    </xf>
    <xf numFmtId="0" fontId="58" fillId="13" borderId="89" xfId="0" applyFont="1" applyFill="1" applyBorder="1" applyAlignment="1">
      <alignment horizontal="right" vertical="center"/>
    </xf>
    <xf numFmtId="0" fontId="58" fillId="13" borderId="90" xfId="0" applyFont="1" applyFill="1" applyBorder="1" applyAlignment="1">
      <alignment horizontal="right" vertical="center"/>
    </xf>
    <xf numFmtId="9" fontId="58" fillId="13" borderId="90" xfId="1" applyNumberFormat="1" applyFont="1" applyFill="1" applyBorder="1" applyAlignment="1">
      <alignment horizontal="right" vertical="center"/>
    </xf>
    <xf numFmtId="0" fontId="58" fillId="13" borderId="91" xfId="1" applyFont="1" applyFill="1" applyBorder="1" applyAlignment="1">
      <alignment horizontal="right" vertical="center"/>
    </xf>
    <xf numFmtId="0" fontId="64" fillId="13" borderId="90" xfId="0" applyFont="1" applyFill="1" applyBorder="1" applyAlignment="1">
      <alignment horizontal="right" vertical="center"/>
    </xf>
    <xf numFmtId="0" fontId="64" fillId="13" borderId="91" xfId="0" applyFont="1" applyFill="1" applyBorder="1" applyAlignment="1">
      <alignment horizontal="right" vertical="center"/>
    </xf>
    <xf numFmtId="0" fontId="58" fillId="13" borderId="83" xfId="0" applyFont="1" applyFill="1" applyBorder="1" applyAlignment="1">
      <alignment horizontal="center"/>
    </xf>
    <xf numFmtId="0" fontId="58" fillId="13" borderId="75" xfId="0" applyFont="1" applyFill="1" applyBorder="1" applyAlignment="1">
      <alignment horizontal="center"/>
    </xf>
    <xf numFmtId="0" fontId="58" fillId="13" borderId="84" xfId="0" applyFont="1" applyFill="1" applyBorder="1" applyAlignment="1">
      <alignment horizontal="center"/>
    </xf>
    <xf numFmtId="0" fontId="58" fillId="13" borderId="85" xfId="0" applyFont="1" applyFill="1" applyBorder="1" applyAlignment="1">
      <alignment horizontal="center"/>
    </xf>
    <xf numFmtId="0" fontId="58" fillId="13" borderId="74" xfId="0" applyFont="1" applyFill="1" applyBorder="1" applyAlignment="1">
      <alignment horizontal="center"/>
    </xf>
    <xf numFmtId="0" fontId="58" fillId="13" borderId="86" xfId="0" applyFont="1" applyFill="1" applyBorder="1" applyAlignment="1">
      <alignment horizontal="center"/>
    </xf>
    <xf numFmtId="0" fontId="60" fillId="13" borderId="81" xfId="1" applyFont="1" applyFill="1" applyBorder="1" applyAlignment="1">
      <alignment horizontal="right"/>
    </xf>
    <xf numFmtId="0" fontId="60" fillId="13" borderId="54" xfId="1" applyFont="1" applyFill="1" applyBorder="1" applyAlignment="1">
      <alignment horizontal="right"/>
    </xf>
    <xf numFmtId="0" fontId="60" fillId="13" borderId="82" xfId="1" applyFont="1" applyFill="1" applyBorder="1" applyAlignment="1">
      <alignment horizontal="right"/>
    </xf>
    <xf numFmtId="0" fontId="54" fillId="0" borderId="0" xfId="0" applyFont="1" applyAlignment="1">
      <alignment horizontal="center"/>
    </xf>
    <xf numFmtId="0" fontId="55" fillId="0" borderId="9" xfId="0" applyFont="1" applyBorder="1" applyAlignment="1">
      <alignment horizontal="right"/>
    </xf>
    <xf numFmtId="0" fontId="63" fillId="13" borderId="87" xfId="0" applyFont="1" applyFill="1" applyBorder="1" applyAlignment="1">
      <alignment horizontal="center" vertical="center"/>
    </xf>
    <xf numFmtId="0" fontId="61" fillId="13" borderId="88" xfId="0" applyFont="1" applyFill="1" applyBorder="1" applyAlignment="1">
      <alignment horizontal="center" vertical="center"/>
    </xf>
    <xf numFmtId="0" fontId="61" fillId="13" borderId="89" xfId="0" applyFont="1" applyFill="1" applyBorder="1" applyAlignment="1">
      <alignment horizontal="center" vertical="center"/>
    </xf>
    <xf numFmtId="0" fontId="61" fillId="13" borderId="90" xfId="0" applyFont="1" applyFill="1" applyBorder="1" applyAlignment="1">
      <alignment horizontal="center" vertical="center"/>
    </xf>
    <xf numFmtId="0" fontId="61" fillId="13" borderId="94" xfId="0" applyFont="1" applyFill="1" applyBorder="1" applyAlignment="1">
      <alignment horizontal="center" vertical="center"/>
    </xf>
    <xf numFmtId="0" fontId="61" fillId="13" borderId="95" xfId="0" applyFont="1" applyFill="1" applyBorder="1" applyAlignment="1">
      <alignment horizontal="center" vertical="center"/>
    </xf>
    <xf numFmtId="0" fontId="61" fillId="13" borderId="96" xfId="0" applyFont="1" applyFill="1" applyBorder="1" applyAlignment="1">
      <alignment horizontal="center" vertical="center"/>
    </xf>
    <xf numFmtId="0" fontId="61" fillId="13" borderId="97" xfId="0" applyFont="1" applyFill="1" applyBorder="1" applyAlignment="1">
      <alignment horizontal="center" vertical="center"/>
    </xf>
    <xf numFmtId="0" fontId="60" fillId="13" borderId="78" xfId="1" applyFont="1" applyFill="1" applyBorder="1" applyAlignment="1">
      <alignment horizontal="right"/>
    </xf>
    <xf numFmtId="0" fontId="60" fillId="13" borderId="79" xfId="1" applyFont="1" applyFill="1" applyBorder="1" applyAlignment="1">
      <alignment horizontal="right"/>
    </xf>
    <xf numFmtId="0" fontId="60" fillId="13" borderId="80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6" fillId="28" borderId="0" xfId="0" applyFont="1" applyFill="1" applyAlignment="1">
      <alignment horizontal="right" vertical="center"/>
    </xf>
    <xf numFmtId="0" fontId="78" fillId="0" borderId="0" xfId="0" applyFont="1" applyAlignment="1">
      <alignment horizontal="center" vertical="center"/>
    </xf>
    <xf numFmtId="0" fontId="71" fillId="6" borderId="0" xfId="0" applyFont="1" applyFill="1" applyAlignment="1" applyProtection="1">
      <alignment horizontal="center"/>
      <protection hidden="1"/>
    </xf>
    <xf numFmtId="0" fontId="6" fillId="3" borderId="32" xfId="0" applyFont="1" applyFill="1" applyBorder="1" applyAlignment="1" applyProtection="1">
      <alignment horizontal="center"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6" fillId="3" borderId="106" xfId="0" applyFont="1" applyFill="1" applyBorder="1" applyAlignment="1" applyProtection="1">
      <alignment horizontal="center" vertical="center" wrapText="1"/>
      <protection locked="0" hidden="1"/>
    </xf>
    <xf numFmtId="0" fontId="6" fillId="3" borderId="29" xfId="0" applyFont="1" applyFill="1" applyBorder="1" applyAlignment="1" applyProtection="1">
      <alignment horizontal="center" vertical="center" wrapText="1"/>
      <protection locked="0" hidden="1"/>
    </xf>
    <xf numFmtId="164" fontId="29" fillId="14" borderId="0" xfId="0" applyNumberFormat="1" applyFont="1" applyFill="1" applyAlignment="1" applyProtection="1">
      <alignment horizontal="center" vertical="center" shrinkToFit="1"/>
      <protection hidden="1"/>
    </xf>
    <xf numFmtId="0" fontId="29" fillId="14" borderId="0" xfId="0" applyFont="1" applyFill="1" applyAlignment="1" applyProtection="1">
      <alignment horizontal="center" vertical="center"/>
      <protection locked="0" hidden="1"/>
    </xf>
    <xf numFmtId="0" fontId="68" fillId="22" borderId="42" xfId="0" applyFont="1" applyFill="1" applyBorder="1" applyAlignment="1" applyProtection="1">
      <alignment horizontal="center"/>
      <protection hidden="1"/>
    </xf>
    <xf numFmtId="0" fontId="32" fillId="13" borderId="0" xfId="0" applyFont="1" applyFill="1" applyAlignment="1" applyProtection="1">
      <alignment horizontal="center" vertical="center"/>
      <protection hidden="1"/>
    </xf>
    <xf numFmtId="0" fontId="42" fillId="20" borderId="0" xfId="0" applyFont="1" applyFill="1" applyAlignment="1" applyProtection="1">
      <alignment horizontal="center" vertical="center" shrinkToFit="1"/>
      <protection hidden="1"/>
    </xf>
    <xf numFmtId="0" fontId="66" fillId="22" borderId="42" xfId="0" applyFont="1" applyFill="1" applyBorder="1" applyAlignment="1" applyProtection="1">
      <alignment horizontal="center" vertical="center"/>
      <protection hidden="1"/>
    </xf>
    <xf numFmtId="164" fontId="29" fillId="14" borderId="42" xfId="0" applyNumberFormat="1" applyFont="1" applyFill="1" applyBorder="1" applyAlignment="1" applyProtection="1">
      <alignment horizontal="center" vertical="center" shrinkToFit="1"/>
      <protection hidden="1"/>
    </xf>
    <xf numFmtId="164" fontId="28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42" fillId="20" borderId="0" xfId="0" applyFont="1" applyFill="1" applyAlignment="1" applyProtection="1">
      <alignment horizontal="center" vertical="center"/>
      <protection hidden="1"/>
    </xf>
    <xf numFmtId="0" fontId="45" fillId="20" borderId="128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 shrinkToFit="1"/>
      <protection hidden="1"/>
    </xf>
    <xf numFmtId="0" fontId="6" fillId="3" borderId="14" xfId="0" applyFont="1" applyFill="1" applyBorder="1" applyAlignment="1" applyProtection="1">
      <alignment horizontal="center" vertical="center" shrinkToFit="1"/>
      <protection hidden="1"/>
    </xf>
    <xf numFmtId="0" fontId="6" fillId="3" borderId="106" xfId="0" applyFont="1" applyFill="1" applyBorder="1" applyAlignment="1" applyProtection="1">
      <alignment horizontal="center" vertical="center" shrinkToFit="1"/>
      <protection hidden="1"/>
    </xf>
    <xf numFmtId="0" fontId="6" fillId="3" borderId="29" xfId="0" applyFont="1" applyFill="1" applyBorder="1" applyAlignment="1" applyProtection="1">
      <alignment horizontal="center" vertical="center" shrinkToFit="1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 wrapText="1"/>
      <protection hidden="1"/>
    </xf>
    <xf numFmtId="0" fontId="32" fillId="12" borderId="7" xfId="0" applyFont="1" applyFill="1" applyBorder="1" applyAlignment="1" applyProtection="1">
      <alignment horizontal="center" vertical="center"/>
      <protection hidden="1"/>
    </xf>
    <xf numFmtId="0" fontId="32" fillId="12" borderId="35" xfId="0" applyFont="1" applyFill="1" applyBorder="1" applyAlignment="1" applyProtection="1">
      <alignment horizontal="center" vertical="center"/>
      <protection hidden="1"/>
    </xf>
    <xf numFmtId="0" fontId="9" fillId="3" borderId="32" xfId="0" applyFont="1" applyFill="1" applyBorder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31" xfId="0" applyFont="1" applyFill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6" fillId="3" borderId="31" xfId="0" applyFont="1" applyFill="1" applyBorder="1" applyAlignment="1" applyProtection="1">
      <alignment horizontal="center" vertical="center" wrapText="1"/>
      <protection hidden="1"/>
    </xf>
    <xf numFmtId="0" fontId="6" fillId="3" borderId="32" xfId="0" applyFont="1" applyFill="1" applyBorder="1" applyAlignment="1" applyProtection="1">
      <alignment horizontal="center" vertical="center" shrinkToFit="1"/>
      <protection locked="0" hidden="1"/>
    </xf>
    <xf numFmtId="0" fontId="6" fillId="3" borderId="14" xfId="0" applyFont="1" applyFill="1" applyBorder="1" applyAlignment="1" applyProtection="1">
      <alignment horizontal="center" vertical="center" shrinkToFit="1"/>
      <protection locked="0" hidden="1"/>
    </xf>
    <xf numFmtId="0" fontId="7" fillId="3" borderId="31" xfId="0" applyFont="1" applyFill="1" applyBorder="1" applyAlignment="1" applyProtection="1">
      <alignment horizontal="center" vertical="center" shrinkToFit="1"/>
      <protection hidden="1"/>
    </xf>
    <xf numFmtId="0" fontId="7" fillId="3" borderId="14" xfId="0" applyFont="1" applyFill="1" applyBorder="1" applyAlignment="1" applyProtection="1">
      <alignment horizontal="center" vertical="center" shrinkToFit="1"/>
      <protection hidden="1"/>
    </xf>
    <xf numFmtId="0" fontId="6" fillId="3" borderId="31" xfId="0" applyFont="1" applyFill="1" applyBorder="1" applyAlignment="1" applyProtection="1">
      <alignment horizontal="center" vertical="center" shrinkToFit="1"/>
      <protection hidden="1"/>
    </xf>
    <xf numFmtId="0" fontId="7" fillId="3" borderId="108" xfId="0" applyFont="1" applyFill="1" applyBorder="1" applyAlignment="1" applyProtection="1">
      <alignment horizontal="center" vertical="center"/>
      <protection hidden="1"/>
    </xf>
    <xf numFmtId="0" fontId="7" fillId="3" borderId="29" xfId="0" applyFont="1" applyFill="1" applyBorder="1" applyAlignment="1" applyProtection="1">
      <alignment horizontal="center" vertical="center"/>
      <protection hidden="1"/>
    </xf>
    <xf numFmtId="164" fontId="72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108" xfId="0" applyFont="1" applyFill="1" applyBorder="1" applyAlignment="1" applyProtection="1">
      <alignment horizontal="center" vertical="center" shrinkToFit="1"/>
      <protection locked="0" hidden="1"/>
    </xf>
    <xf numFmtId="0" fontId="7" fillId="3" borderId="29" xfId="0" applyFont="1" applyFill="1" applyBorder="1" applyAlignment="1" applyProtection="1">
      <alignment horizontal="center" vertical="center" shrinkToFit="1"/>
      <protection locked="0" hidden="1"/>
    </xf>
    <xf numFmtId="0" fontId="7" fillId="3" borderId="108" xfId="0" applyFont="1" applyFill="1" applyBorder="1" applyAlignment="1" applyProtection="1">
      <alignment horizontal="center" vertical="center" shrinkToFit="1"/>
      <protection hidden="1"/>
    </xf>
    <xf numFmtId="0" fontId="7" fillId="3" borderId="29" xfId="0" applyFont="1" applyFill="1" applyBorder="1" applyAlignment="1" applyProtection="1">
      <alignment horizontal="center" vertical="center" shrinkToFit="1"/>
      <protection hidden="1"/>
    </xf>
    <xf numFmtId="2" fontId="7" fillId="3" borderId="113" xfId="1" applyNumberFormat="1" applyFont="1" applyFill="1" applyBorder="1" applyAlignment="1" applyProtection="1">
      <alignment horizontal="center" vertical="center" shrinkToFit="1"/>
      <protection locked="0" hidden="1"/>
    </xf>
    <xf numFmtId="0" fontId="28" fillId="5" borderId="27" xfId="0" applyFont="1" applyFill="1" applyBorder="1" applyAlignment="1" applyProtection="1">
      <alignment horizontal="center" vertical="center"/>
      <protection hidden="1"/>
    </xf>
    <xf numFmtId="0" fontId="28" fillId="5" borderId="7" xfId="0" applyFont="1" applyFill="1" applyBorder="1" applyAlignment="1" applyProtection="1">
      <alignment horizontal="center" vertical="center"/>
      <protection hidden="1"/>
    </xf>
    <xf numFmtId="0" fontId="28" fillId="5" borderId="35" xfId="0" applyFont="1" applyFill="1" applyBorder="1" applyAlignment="1" applyProtection="1">
      <alignment horizontal="center" vertic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35" xfId="0" applyFont="1" applyFill="1" applyBorder="1" applyAlignment="1" applyProtection="1">
      <alignment horizontal="center" vertical="center"/>
      <protection hidden="1"/>
    </xf>
    <xf numFmtId="0" fontId="42" fillId="13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0" applyFont="1" applyFill="1" applyBorder="1" applyAlignment="1" applyProtection="1">
      <alignment horizontal="center" vertical="center" shrinkToFit="1"/>
      <protection hidden="1"/>
    </xf>
    <xf numFmtId="0" fontId="42" fillId="26" borderId="113" xfId="0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hidden="1"/>
    </xf>
    <xf numFmtId="0" fontId="4" fillId="3" borderId="113" xfId="1" applyFont="1" applyFill="1" applyBorder="1" applyAlignment="1" applyProtection="1">
      <alignment horizontal="center" vertical="center" shrinkToFit="1"/>
      <protection hidden="1"/>
    </xf>
    <xf numFmtId="165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4" fillId="3" borderId="113" xfId="1" applyFont="1" applyFill="1" applyBorder="1" applyAlignment="1" applyProtection="1">
      <alignment horizontal="center" vertical="center" wrapText="1" shrinkToFit="1"/>
      <protection hidden="1"/>
    </xf>
    <xf numFmtId="0" fontId="74" fillId="3" borderId="113" xfId="1" applyFont="1" applyFill="1" applyBorder="1" applyAlignment="1" applyProtection="1">
      <alignment horizontal="center" vertical="center" shrinkToFit="1"/>
      <protection hidden="1"/>
    </xf>
    <xf numFmtId="0" fontId="8" fillId="3" borderId="113" xfId="1" applyFont="1" applyFill="1" applyBorder="1" applyAlignment="1" applyProtection="1">
      <alignment horizontal="center" vertical="center" shrinkToFit="1"/>
      <protection hidden="1"/>
    </xf>
    <xf numFmtId="0" fontId="40" fillId="13" borderId="0" xfId="1" applyFont="1" applyFill="1" applyBorder="1" applyAlignment="1" applyProtection="1">
      <alignment horizontal="center" vertical="center"/>
      <protection hidden="1"/>
    </xf>
    <xf numFmtId="0" fontId="40" fillId="13" borderId="0" xfId="1" applyFont="1" applyFill="1" applyBorder="1" applyAlignment="1" applyProtection="1">
      <alignment horizontal="center" vertical="center" wrapText="1"/>
      <protection hidden="1"/>
    </xf>
    <xf numFmtId="0" fontId="7" fillId="3" borderId="34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38" fillId="13" borderId="0" xfId="1" applyFont="1" applyFill="1" applyBorder="1" applyAlignment="1" applyProtection="1">
      <alignment horizontal="center" vertical="center" wrapText="1"/>
      <protection hidden="1"/>
    </xf>
    <xf numFmtId="0" fontId="32" fillId="12" borderId="27" xfId="0" applyFont="1" applyFill="1" applyBorder="1" applyAlignment="1" applyProtection="1">
      <alignment horizontal="center" vertical="center"/>
      <protection hidden="1"/>
    </xf>
    <xf numFmtId="0" fontId="84" fillId="3" borderId="31" xfId="0" applyFont="1" applyFill="1" applyBorder="1" applyAlignment="1" applyProtection="1">
      <alignment horizontal="center" vertical="center" wrapText="1"/>
      <protection hidden="1"/>
    </xf>
    <xf numFmtId="0" fontId="84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34" xfId="0" applyFont="1" applyFill="1" applyBorder="1" applyAlignment="1" applyProtection="1">
      <alignment horizontal="center" vertical="center" shrinkToFit="1"/>
      <protection hidden="1"/>
    </xf>
    <xf numFmtId="0" fontId="7" fillId="3" borderId="16" xfId="0" applyFont="1" applyFill="1" applyBorder="1" applyAlignment="1" applyProtection="1">
      <alignment horizontal="center" vertical="center" shrinkToFit="1"/>
      <protection hidden="1"/>
    </xf>
    <xf numFmtId="0" fontId="74" fillId="13" borderId="0" xfId="1" applyFont="1" applyFill="1" applyBorder="1" applyAlignment="1" applyProtection="1">
      <alignment horizontal="center" vertical="center" shrinkToFit="1"/>
      <protection hidden="1"/>
    </xf>
    <xf numFmtId="0" fontId="4" fillId="13" borderId="0" xfId="0" applyFont="1" applyFill="1" applyAlignment="1" applyProtection="1">
      <alignment horizontal="center" vertical="center" shrinkToFit="1"/>
      <protection hidden="1"/>
    </xf>
    <xf numFmtId="49" fontId="7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locked="0" hidden="1"/>
    </xf>
    <xf numFmtId="0" fontId="4" fillId="5" borderId="27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 shrinkToFit="1"/>
      <protection hidden="1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0" fontId="42" fillId="27" borderId="113" xfId="0" applyFont="1" applyFill="1" applyBorder="1" applyAlignment="1" applyProtection="1">
      <alignment horizontal="center" vertical="center" shrinkToFit="1"/>
      <protection hidden="1"/>
    </xf>
    <xf numFmtId="0" fontId="32" fillId="12" borderId="8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/>
      <protection hidden="1"/>
    </xf>
    <xf numFmtId="0" fontId="32" fillId="12" borderId="9" xfId="0" applyFont="1" applyFill="1" applyBorder="1" applyAlignment="1" applyProtection="1">
      <alignment horizontal="center" vertical="center" wrapText="1"/>
      <protection hidden="1"/>
    </xf>
    <xf numFmtId="0" fontId="32" fillId="12" borderId="36" xfId="0" applyFont="1" applyFill="1" applyBorder="1" applyAlignment="1" applyProtection="1">
      <alignment horizontal="center" vertical="center" wrapText="1"/>
      <protection hidden="1"/>
    </xf>
    <xf numFmtId="0" fontId="33" fillId="0" borderId="30" xfId="0" applyFont="1" applyBorder="1" applyAlignment="1" applyProtection="1">
      <alignment horizontal="center" vertical="center" shrinkToFit="1"/>
      <protection hidden="1"/>
    </xf>
    <xf numFmtId="0" fontId="9" fillId="0" borderId="32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2" fillId="3" borderId="14" xfId="0" applyFont="1" applyFill="1" applyBorder="1" applyAlignment="1" applyProtection="1">
      <alignment horizontal="center" vertical="center" shrinkToFit="1"/>
      <protection hidden="1"/>
    </xf>
    <xf numFmtId="0" fontId="81" fillId="0" borderId="14" xfId="0" applyFont="1" applyBorder="1" applyAlignment="1" applyProtection="1">
      <alignment horizontal="left" vertical="center" shrinkToFit="1"/>
      <protection hidden="1"/>
    </xf>
    <xf numFmtId="0" fontId="81" fillId="0" borderId="119" xfId="0" applyFont="1" applyBorder="1" applyAlignment="1" applyProtection="1">
      <alignment horizontal="left" vertical="center" shrinkToFit="1"/>
      <protection hidden="1"/>
    </xf>
    <xf numFmtId="0" fontId="2" fillId="0" borderId="118" xfId="0" applyFont="1" applyBorder="1" applyAlignment="1" applyProtection="1">
      <alignment horizontal="right" vertical="center" shrinkToFit="1"/>
      <protection hidden="1"/>
    </xf>
    <xf numFmtId="0" fontId="2" fillId="0" borderId="14" xfId="0" applyFont="1" applyBorder="1" applyAlignment="1" applyProtection="1">
      <alignment horizontal="right" vertical="center" shrinkToFit="1"/>
      <protection hidden="1"/>
    </xf>
    <xf numFmtId="0" fontId="81" fillId="0" borderId="120" xfId="0" applyFont="1" applyBorder="1" applyAlignment="1" applyProtection="1">
      <alignment horizontal="right" vertical="center" shrinkToFit="1"/>
      <protection hidden="1"/>
    </xf>
    <xf numFmtId="0" fontId="81" fillId="0" borderId="15" xfId="0" applyFont="1" applyBorder="1" applyAlignment="1" applyProtection="1">
      <alignment horizontal="right" vertical="center" shrinkToFit="1"/>
      <protection hidden="1"/>
    </xf>
    <xf numFmtId="0" fontId="29" fillId="16" borderId="6" xfId="0" applyFont="1" applyFill="1" applyBorder="1" applyAlignment="1" applyProtection="1">
      <alignment horizontal="right" vertical="top" wrapText="1"/>
      <protection hidden="1"/>
    </xf>
    <xf numFmtId="0" fontId="29" fillId="16" borderId="6" xfId="0" applyFont="1" applyFill="1" applyBorder="1" applyAlignment="1" applyProtection="1">
      <alignment horizontal="right" vertical="top"/>
      <protection hidden="1"/>
    </xf>
    <xf numFmtId="0" fontId="29" fillId="16" borderId="0" xfId="0" applyFont="1" applyFill="1" applyAlignment="1" applyProtection="1">
      <alignment horizontal="right" vertical="top"/>
      <protection hidden="1"/>
    </xf>
    <xf numFmtId="0" fontId="82" fillId="3" borderId="14" xfId="0" applyFont="1" applyFill="1" applyBorder="1" applyAlignment="1" applyProtection="1">
      <alignment horizontal="center" vertical="center" shrinkToFit="1"/>
      <protection hidden="1"/>
    </xf>
    <xf numFmtId="0" fontId="9" fillId="3" borderId="14" xfId="0" applyFont="1" applyFill="1" applyBorder="1" applyAlignment="1" applyProtection="1">
      <alignment horizontal="center" vertical="center" shrinkToFit="1"/>
      <protection hidden="1"/>
    </xf>
    <xf numFmtId="0" fontId="82" fillId="3" borderId="119" xfId="0" applyFont="1" applyFill="1" applyBorder="1" applyAlignment="1" applyProtection="1">
      <alignment horizontal="center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165" fontId="82" fillId="3" borderId="14" xfId="0" applyNumberFormat="1" applyFont="1" applyFill="1" applyBorder="1" applyAlignment="1" applyProtection="1">
      <alignment horizontal="center" vertical="center" shrinkToFit="1"/>
      <protection hidden="1"/>
    </xf>
    <xf numFmtId="22" fontId="46" fillId="0" borderId="70" xfId="0" applyNumberFormat="1" applyFont="1" applyBorder="1" applyAlignment="1" applyProtection="1">
      <alignment horizontal="center" vertical="center" shrinkToFit="1" readingOrder="2"/>
      <protection hidden="1"/>
    </xf>
    <xf numFmtId="0" fontId="2" fillId="0" borderId="117" xfId="0" applyFont="1" applyBorder="1" applyAlignment="1" applyProtection="1">
      <alignment horizontal="right" vertical="center" shrinkToFit="1"/>
      <protection hidden="1"/>
    </xf>
    <xf numFmtId="0" fontId="2" fillId="0" borderId="16" xfId="0" applyFont="1" applyBorder="1" applyAlignment="1" applyProtection="1">
      <alignment horizontal="right" vertical="center" shrinkToFit="1"/>
      <protection hidden="1"/>
    </xf>
    <xf numFmtId="0" fontId="80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0" fontId="81" fillId="3" borderId="16" xfId="0" applyFont="1" applyFill="1" applyBorder="1" applyAlignment="1" applyProtection="1">
      <alignment horizontal="center" vertical="center" shrinkToFit="1"/>
      <protection hidden="1"/>
    </xf>
    <xf numFmtId="0" fontId="2" fillId="3" borderId="16" xfId="0" applyFont="1" applyFill="1" applyBorder="1" applyAlignment="1" applyProtection="1">
      <alignment horizontal="center" vertical="center" shrinkToFit="1"/>
      <protection hidden="1"/>
    </xf>
    <xf numFmtId="0" fontId="2" fillId="3" borderId="105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2" fillId="0" borderId="119" xfId="0" applyFont="1" applyBorder="1" applyAlignment="1" applyProtection="1">
      <alignment horizontal="left" vertical="center" shrinkToFit="1"/>
      <protection hidden="1"/>
    </xf>
    <xf numFmtId="0" fontId="49" fillId="0" borderId="70" xfId="0" applyFont="1" applyBorder="1" applyAlignment="1" applyProtection="1">
      <alignment horizontal="right" vertical="center" shrinkToFit="1" readingOrder="2"/>
      <protection hidden="1"/>
    </xf>
    <xf numFmtId="0" fontId="81" fillId="3" borderId="14" xfId="0" applyFont="1" applyFill="1" applyBorder="1" applyAlignment="1" applyProtection="1">
      <alignment horizontal="center" vertical="center" shrinkToFit="1"/>
      <protection hidden="1"/>
    </xf>
    <xf numFmtId="49" fontId="82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82" fillId="3" borderId="15" xfId="0" applyFont="1" applyFill="1" applyBorder="1" applyAlignment="1" applyProtection="1">
      <alignment horizontal="center" vertical="center" shrinkToFit="1"/>
      <protection hidden="1"/>
    </xf>
    <xf numFmtId="0" fontId="9" fillId="3" borderId="15" xfId="0" applyFont="1" applyFill="1" applyBorder="1" applyAlignment="1" applyProtection="1">
      <alignment horizontal="center" vertical="center" shrinkToFit="1"/>
      <protection hidden="1"/>
    </xf>
    <xf numFmtId="0" fontId="9" fillId="3" borderId="121" xfId="0" applyFont="1" applyFill="1" applyBorder="1" applyAlignment="1" applyProtection="1">
      <alignment horizontal="center" vertical="center" shrinkToFit="1"/>
      <protection hidden="1"/>
    </xf>
    <xf numFmtId="0" fontId="81" fillId="0" borderId="118" xfId="0" applyFont="1" applyBorder="1" applyAlignment="1" applyProtection="1">
      <alignment horizontal="right" vertical="center" shrinkToFit="1"/>
      <protection hidden="1"/>
    </xf>
    <xf numFmtId="49" fontId="9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93" fillId="26" borderId="122" xfId="0" applyFont="1" applyFill="1" applyBorder="1" applyAlignment="1" applyProtection="1">
      <alignment horizontal="right" vertical="center" wrapText="1"/>
      <protection hidden="1"/>
    </xf>
    <xf numFmtId="0" fontId="93" fillId="26" borderId="123" xfId="0" applyFont="1" applyFill="1" applyBorder="1" applyAlignment="1" applyProtection="1">
      <alignment horizontal="right" vertical="center" wrapText="1"/>
      <protection hidden="1"/>
    </xf>
    <xf numFmtId="0" fontId="93" fillId="26" borderId="124" xfId="0" applyFont="1" applyFill="1" applyBorder="1" applyAlignment="1" applyProtection="1">
      <alignment horizontal="right" vertical="center" wrapText="1"/>
      <protection hidden="1"/>
    </xf>
    <xf numFmtId="0" fontId="93" fillId="26" borderId="125" xfId="0" applyFont="1" applyFill="1" applyBorder="1" applyAlignment="1" applyProtection="1">
      <alignment horizontal="right" vertical="center" wrapText="1"/>
      <protection hidden="1"/>
    </xf>
    <xf numFmtId="0" fontId="93" fillId="26" borderId="126" xfId="0" applyFont="1" applyFill="1" applyBorder="1" applyAlignment="1" applyProtection="1">
      <alignment horizontal="right" vertical="center" wrapText="1"/>
      <protection hidden="1"/>
    </xf>
    <xf numFmtId="0" fontId="93" fillId="26" borderId="127" xfId="0" applyFont="1" applyFill="1" applyBorder="1" applyAlignment="1" applyProtection="1">
      <alignment horizontal="right" vertical="center" wrapText="1"/>
      <protection hidden="1"/>
    </xf>
    <xf numFmtId="0" fontId="93" fillId="26" borderId="123" xfId="0" applyFont="1" applyFill="1" applyBorder="1" applyAlignment="1" applyProtection="1">
      <alignment horizontal="center" vertical="center"/>
      <protection hidden="1"/>
    </xf>
    <xf numFmtId="0" fontId="82" fillId="0" borderId="28" xfId="0" applyFont="1" applyBorder="1" applyAlignment="1" applyProtection="1">
      <alignment horizontal="center" vertical="center" shrinkToFit="1"/>
      <protection hidden="1"/>
    </xf>
    <xf numFmtId="0" fontId="82" fillId="0" borderId="15" xfId="0" applyFont="1" applyBorder="1" applyAlignment="1" applyProtection="1">
      <alignment horizontal="center" vertical="center" shrinkToFit="1"/>
      <protection hidden="1"/>
    </xf>
    <xf numFmtId="164" fontId="9" fillId="3" borderId="15" xfId="0" applyNumberFormat="1" applyFont="1" applyFill="1" applyBorder="1" applyAlignment="1" applyProtection="1">
      <alignment horizontal="center" vertical="center" shrinkToFit="1"/>
      <protection hidden="1"/>
    </xf>
    <xf numFmtId="164" fontId="9" fillId="3" borderId="107" xfId="0" applyNumberFormat="1" applyFont="1" applyFill="1" applyBorder="1" applyAlignment="1" applyProtection="1">
      <alignment horizontal="center" vertical="center" shrinkToFit="1"/>
      <protection hidden="1"/>
    </xf>
    <xf numFmtId="0" fontId="82" fillId="0" borderId="0" xfId="0" applyFont="1" applyAlignment="1" applyProtection="1">
      <alignment horizontal="center" vertical="center" shrinkToFit="1"/>
      <protection hidden="1"/>
    </xf>
    <xf numFmtId="0" fontId="82" fillId="0" borderId="107" xfId="0" applyFont="1" applyBorder="1" applyAlignment="1" applyProtection="1">
      <alignment horizontal="center" vertical="center" shrinkToFit="1"/>
      <protection hidden="1"/>
    </xf>
    <xf numFmtId="0" fontId="82" fillId="0" borderId="104" xfId="0" applyFont="1" applyBorder="1" applyAlignment="1" applyProtection="1">
      <alignment horizontal="center" vertical="center" shrinkToFit="1"/>
      <protection hidden="1"/>
    </xf>
    <xf numFmtId="0" fontId="82" fillId="0" borderId="76" xfId="0" applyFont="1" applyBorder="1" applyAlignment="1" applyProtection="1">
      <alignment horizontal="center" vertical="center" shrinkToFit="1"/>
      <protection hidden="1"/>
    </xf>
    <xf numFmtId="164" fontId="82" fillId="3" borderId="14" xfId="0" applyNumberFormat="1" applyFont="1" applyFill="1" applyBorder="1" applyAlignment="1" applyProtection="1">
      <alignment horizontal="right" vertical="center" shrinkToFit="1"/>
      <protection hidden="1"/>
    </xf>
    <xf numFmtId="164" fontId="82" fillId="3" borderId="73" xfId="0" applyNumberFormat="1" applyFont="1" applyFill="1" applyBorder="1" applyAlignment="1" applyProtection="1">
      <alignment horizontal="right" vertical="center" shrinkToFit="1"/>
      <protection hidden="1"/>
    </xf>
    <xf numFmtId="0" fontId="82" fillId="0" borderId="32" xfId="0" applyFont="1" applyBorder="1" applyAlignment="1" applyProtection="1">
      <alignment horizontal="center" vertical="center" shrinkToFit="1"/>
      <protection hidden="1"/>
    </xf>
    <xf numFmtId="0" fontId="82" fillId="0" borderId="14" xfId="0" applyFont="1" applyBorder="1" applyAlignment="1" applyProtection="1">
      <alignment horizontal="center" vertical="center" shrinkToFit="1"/>
      <protection hidden="1"/>
    </xf>
    <xf numFmtId="0" fontId="83" fillId="6" borderId="13" xfId="0" applyFont="1" applyFill="1" applyBorder="1" applyAlignment="1" applyProtection="1">
      <alignment horizontal="center" vertical="center" shrinkToFit="1"/>
      <protection hidden="1"/>
    </xf>
    <xf numFmtId="0" fontId="83" fillId="6" borderId="103" xfId="0" applyFont="1" applyFill="1" applyBorder="1" applyAlignment="1" applyProtection="1">
      <alignment horizontal="center" vertical="center" shrinkToFit="1"/>
      <protection hidden="1"/>
    </xf>
    <xf numFmtId="0" fontId="81" fillId="3" borderId="14" xfId="0" applyFont="1" applyFill="1" applyBorder="1" applyAlignment="1" applyProtection="1">
      <alignment horizontal="right" vertical="center" shrinkToFit="1"/>
      <protection hidden="1"/>
    </xf>
    <xf numFmtId="0" fontId="81" fillId="3" borderId="73" xfId="0" applyFont="1" applyFill="1" applyBorder="1" applyAlignment="1" applyProtection="1">
      <alignment horizontal="right" vertical="center" shrinkToFit="1"/>
      <protection hidden="1"/>
    </xf>
    <xf numFmtId="164" fontId="82" fillId="3" borderId="14" xfId="0" applyNumberFormat="1" applyFont="1" applyFill="1" applyBorder="1" applyAlignment="1" applyProtection="1">
      <alignment horizontal="right" shrinkToFit="1"/>
      <protection hidden="1"/>
    </xf>
    <xf numFmtId="164" fontId="82" fillId="3" borderId="73" xfId="0" applyNumberFormat="1" applyFont="1" applyFill="1" applyBorder="1" applyAlignment="1" applyProtection="1">
      <alignment horizontal="right" shrinkToFit="1"/>
      <protection hidden="1"/>
    </xf>
    <xf numFmtId="164" fontId="81" fillId="23" borderId="15" xfId="0" applyNumberFormat="1" applyFont="1" applyFill="1" applyBorder="1" applyAlignment="1" applyProtection="1">
      <alignment horizontal="center" vertical="center" shrinkToFit="1"/>
      <protection hidden="1"/>
    </xf>
    <xf numFmtId="0" fontId="83" fillId="6" borderId="1" xfId="0" applyFont="1" applyFill="1" applyBorder="1" applyAlignment="1" applyProtection="1">
      <alignment horizontal="center" vertical="center" shrinkToFit="1"/>
      <protection hidden="1"/>
    </xf>
    <xf numFmtId="0" fontId="83" fillId="6" borderId="76" xfId="0" applyFont="1" applyFill="1" applyBorder="1" applyAlignment="1" applyProtection="1">
      <alignment horizontal="center" vertical="center" shrinkToFit="1"/>
      <protection hidden="1"/>
    </xf>
    <xf numFmtId="0" fontId="83" fillId="6" borderId="0" xfId="0" applyFont="1" applyFill="1" applyAlignment="1" applyProtection="1">
      <alignment horizontal="center" vertical="center" shrinkToFit="1"/>
      <protection hidden="1"/>
    </xf>
    <xf numFmtId="0" fontId="33" fillId="2" borderId="34" xfId="0" applyFont="1" applyFill="1" applyBorder="1" applyAlignment="1" applyProtection="1">
      <alignment horizontal="center" vertical="center" shrinkToFit="1"/>
      <protection hidden="1"/>
    </xf>
    <xf numFmtId="0" fontId="33" fillId="2" borderId="16" xfId="0" applyFont="1" applyFill="1" applyBorder="1" applyAlignment="1" applyProtection="1">
      <alignment horizontal="center" vertical="center" shrinkToFit="1"/>
      <protection hidden="1"/>
    </xf>
    <xf numFmtId="0" fontId="33" fillId="2" borderId="105" xfId="0" applyFont="1" applyFill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top"/>
      <protection hidden="1"/>
    </xf>
    <xf numFmtId="0" fontId="82" fillId="0" borderId="32" xfId="0" applyFont="1" applyBorder="1" applyAlignment="1" applyProtection="1">
      <alignment horizontal="right" vertical="center" shrinkToFit="1"/>
      <protection hidden="1"/>
    </xf>
    <xf numFmtId="0" fontId="82" fillId="0" borderId="14" xfId="0" applyFont="1" applyBorder="1" applyAlignment="1" applyProtection="1">
      <alignment horizontal="right" vertical="center" shrinkToFit="1"/>
      <protection hidden="1"/>
    </xf>
    <xf numFmtId="0" fontId="81" fillId="23" borderId="28" xfId="0" applyFont="1" applyFill="1" applyBorder="1" applyAlignment="1" applyProtection="1">
      <alignment horizontal="center" vertical="center" shrinkToFit="1"/>
      <protection hidden="1"/>
    </xf>
    <xf numFmtId="0" fontId="81" fillId="23" borderId="15" xfId="0" applyFont="1" applyFill="1" applyBorder="1" applyAlignment="1" applyProtection="1">
      <alignment horizontal="center" vertical="center" shrinkToFit="1"/>
      <protection hidden="1"/>
    </xf>
    <xf numFmtId="0" fontId="9" fillId="0" borderId="32" xfId="0" applyFont="1" applyBorder="1" applyAlignment="1" applyProtection="1">
      <alignment horizontal="right" vertical="center" shrinkToFit="1"/>
      <protection hidden="1"/>
    </xf>
    <xf numFmtId="0" fontId="9" fillId="0" borderId="14" xfId="0" applyFont="1" applyBorder="1" applyAlignment="1" applyProtection="1">
      <alignment horizontal="right" vertical="center" shrinkToFit="1"/>
      <protection hidden="1"/>
    </xf>
    <xf numFmtId="0" fontId="2" fillId="0" borderId="1" xfId="0" applyFont="1" applyBorder="1" applyAlignment="1" applyProtection="1">
      <alignment horizontal="right" vertical="center" shrinkToFit="1"/>
      <protection hidden="1"/>
    </xf>
    <xf numFmtId="0" fontId="2" fillId="0" borderId="13" xfId="0" applyFont="1" applyBorder="1" applyAlignment="1" applyProtection="1">
      <alignment horizontal="right" vertical="center" shrinkToFit="1"/>
      <protection hidden="1"/>
    </xf>
    <xf numFmtId="0" fontId="2" fillId="0" borderId="103" xfId="0" applyFont="1" applyBorder="1" applyAlignment="1" applyProtection="1">
      <alignment horizontal="right" vertical="center" shrinkToFit="1"/>
      <protection hidden="1"/>
    </xf>
    <xf numFmtId="0" fontId="9" fillId="0" borderId="15" xfId="0" applyFont="1" applyBorder="1" applyAlignment="1" applyProtection="1">
      <alignment horizontal="right" vertical="top"/>
      <protection hidden="1"/>
    </xf>
    <xf numFmtId="0" fontId="9" fillId="3" borderId="73" xfId="0" applyFont="1" applyFill="1" applyBorder="1" applyAlignment="1" applyProtection="1">
      <alignment horizontal="center" vertical="center" shrinkToFit="1"/>
      <protection hidden="1"/>
    </xf>
    <xf numFmtId="0" fontId="83" fillId="6" borderId="104" xfId="0" applyFont="1" applyFill="1" applyBorder="1" applyAlignment="1" applyProtection="1">
      <alignment horizontal="center" vertical="center" shrinkToFit="1"/>
      <protection hidden="1"/>
    </xf>
    <xf numFmtId="0" fontId="83" fillId="6" borderId="28" xfId="0" applyFont="1" applyFill="1" applyBorder="1" applyAlignment="1" applyProtection="1">
      <alignment horizontal="center" shrinkToFit="1"/>
      <protection hidden="1"/>
    </xf>
    <xf numFmtId="0" fontId="83" fillId="6" borderId="15" xfId="0" applyFont="1" applyFill="1" applyBorder="1" applyAlignment="1" applyProtection="1">
      <alignment horizontal="center" shrinkToFit="1"/>
      <protection hidden="1"/>
    </xf>
    <xf numFmtId="0" fontId="83" fillId="6" borderId="107" xfId="0" applyFont="1" applyFill="1" applyBorder="1" applyAlignment="1" applyProtection="1">
      <alignment horizontal="center" shrinkToFit="1"/>
      <protection hidden="1"/>
    </xf>
    <xf numFmtId="0" fontId="82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3" borderId="25" xfId="0" applyFont="1" applyFill="1" applyBorder="1" applyAlignment="1" applyProtection="1">
      <alignment horizontal="center" vertical="center" textRotation="90" wrapText="1"/>
      <protection hidden="1"/>
    </xf>
    <xf numFmtId="0" fontId="2" fillId="3" borderId="144" xfId="0" applyFont="1" applyFill="1" applyBorder="1" applyAlignment="1" applyProtection="1">
      <alignment horizontal="center" vertical="center" textRotation="90" wrapText="1"/>
      <protection hidden="1"/>
    </xf>
    <xf numFmtId="0" fontId="2" fillId="3" borderId="141" xfId="0" applyFont="1" applyFill="1" applyBorder="1" applyAlignment="1" applyProtection="1">
      <alignment horizontal="center" vertical="center" textRotation="90" wrapText="1"/>
      <protection hidden="1"/>
    </xf>
    <xf numFmtId="0" fontId="2" fillId="3" borderId="143" xfId="0" applyFont="1" applyFill="1" applyBorder="1" applyAlignment="1" applyProtection="1">
      <alignment horizontal="center" vertical="center" textRotation="90" wrapText="1"/>
      <protection hidden="1"/>
    </xf>
    <xf numFmtId="0" fontId="2" fillId="3" borderId="38" xfId="0" applyFont="1" applyFill="1" applyBorder="1" applyAlignment="1" applyProtection="1">
      <alignment horizontal="center" vertical="center" textRotation="90" wrapText="1"/>
      <protection hidden="1"/>
    </xf>
    <xf numFmtId="0" fontId="2" fillId="3" borderId="40" xfId="0" applyFont="1" applyFill="1" applyBorder="1" applyAlignment="1" applyProtection="1">
      <alignment horizontal="center" vertical="center" textRotation="90" wrapText="1"/>
      <protection hidden="1"/>
    </xf>
    <xf numFmtId="0" fontId="2" fillId="3" borderId="3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2" xfId="0" applyFont="1" applyFill="1" applyBorder="1" applyAlignment="1" applyProtection="1">
      <alignment horizontal="center" vertical="center" textRotation="90" wrapText="1"/>
      <protection hidden="1"/>
    </xf>
    <xf numFmtId="0" fontId="30" fillId="0" borderId="129" xfId="0" applyFont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30" fillId="0" borderId="13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36" xfId="0" applyFont="1" applyBorder="1" applyAlignment="1">
      <alignment horizontal="center" vertical="center"/>
    </xf>
    <xf numFmtId="0" fontId="30" fillId="0" borderId="131" xfId="0" applyFont="1" applyBorder="1" applyAlignment="1" applyProtection="1">
      <alignment horizontal="center" vertical="center"/>
      <protection hidden="1"/>
    </xf>
    <xf numFmtId="0" fontId="30" fillId="0" borderId="136" xfId="0" applyFont="1" applyBorder="1" applyAlignment="1" applyProtection="1">
      <alignment horizontal="center" vertical="center"/>
      <protection hidden="1"/>
    </xf>
    <xf numFmtId="0" fontId="30" fillId="0" borderId="132" xfId="0" applyFont="1" applyBorder="1" applyAlignment="1" applyProtection="1">
      <alignment horizontal="center" vertical="center"/>
      <protection hidden="1"/>
    </xf>
    <xf numFmtId="0" fontId="30" fillId="0" borderId="133" xfId="0" applyFont="1" applyBorder="1" applyAlignment="1" applyProtection="1">
      <alignment horizontal="center" vertical="center"/>
      <protection hidden="1"/>
    </xf>
    <xf numFmtId="0" fontId="30" fillId="0" borderId="135" xfId="0" applyFont="1" applyBorder="1" applyAlignment="1" applyProtection="1">
      <alignment horizontal="center" vertical="center"/>
      <protection hidden="1"/>
    </xf>
    <xf numFmtId="0" fontId="30" fillId="0" borderId="26" xfId="0" applyFont="1" applyBorder="1" applyAlignment="1" applyProtection="1">
      <alignment horizontal="center" vertical="center"/>
      <protection hidden="1"/>
    </xf>
    <xf numFmtId="0" fontId="2" fillId="3" borderId="13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0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Alignment="1" applyProtection="1">
      <alignment horizontal="center" vertical="center" textRotation="90" wrapText="1"/>
      <protection hidden="1"/>
    </xf>
    <xf numFmtId="0" fontId="2" fillId="3" borderId="116" xfId="0" applyFont="1" applyFill="1" applyBorder="1" applyAlignment="1" applyProtection="1">
      <alignment horizontal="center" vertical="center" textRotation="90" wrapText="1"/>
      <protection hidden="1"/>
    </xf>
    <xf numFmtId="0" fontId="42" fillId="24" borderId="138" xfId="0" applyFont="1" applyFill="1" applyBorder="1" applyAlignment="1">
      <alignment horizontal="center" vertical="center" wrapText="1"/>
    </xf>
    <xf numFmtId="0" fontId="42" fillId="24" borderId="134" xfId="0" applyFont="1" applyFill="1" applyBorder="1" applyAlignment="1">
      <alignment horizontal="center" vertical="center" wrapText="1"/>
    </xf>
    <xf numFmtId="0" fontId="66" fillId="24" borderId="26" xfId="0" applyFont="1" applyFill="1" applyBorder="1" applyAlignment="1">
      <alignment horizontal="center" vertical="center"/>
    </xf>
    <xf numFmtId="0" fontId="66" fillId="24" borderId="24" xfId="0" applyFont="1" applyFill="1" applyBorder="1" applyAlignment="1">
      <alignment horizontal="center" vertical="center" textRotation="90" wrapText="1"/>
    </xf>
    <xf numFmtId="0" fontId="66" fillId="24" borderId="133" xfId="0" applyFont="1" applyFill="1" applyBorder="1" applyAlignment="1">
      <alignment horizontal="center" vertical="center" textRotation="90" wrapText="1"/>
    </xf>
    <xf numFmtId="0" fontId="66" fillId="24" borderId="138" xfId="0" applyFont="1" applyFill="1" applyBorder="1" applyAlignment="1">
      <alignment horizontal="center" vertical="center" textRotation="90" wrapText="1"/>
    </xf>
    <xf numFmtId="0" fontId="66" fillId="24" borderId="134" xfId="0" applyFont="1" applyFill="1" applyBorder="1" applyAlignment="1">
      <alignment horizontal="center" vertical="center" textRotation="90" wrapText="1"/>
    </xf>
    <xf numFmtId="0" fontId="85" fillId="24" borderId="137" xfId="0" applyFont="1" applyFill="1" applyBorder="1" applyAlignment="1">
      <alignment horizontal="center" vertical="center"/>
    </xf>
    <xf numFmtId="0" fontId="85" fillId="24" borderId="132" xfId="0" applyFont="1" applyFill="1" applyBorder="1" applyAlignment="1">
      <alignment horizontal="center" vertical="center"/>
    </xf>
    <xf numFmtId="0" fontId="85" fillId="24" borderId="24" xfId="0" applyFont="1" applyFill="1" applyBorder="1" applyAlignment="1">
      <alignment horizontal="center" vertical="center"/>
    </xf>
    <xf numFmtId="0" fontId="85" fillId="24" borderId="133" xfId="0" applyFont="1" applyFill="1" applyBorder="1" applyAlignment="1">
      <alignment horizontal="center" vertical="center"/>
    </xf>
    <xf numFmtId="0" fontId="85" fillId="24" borderId="138" xfId="0" applyFont="1" applyFill="1" applyBorder="1" applyAlignment="1">
      <alignment horizontal="center" vertical="center"/>
    </xf>
    <xf numFmtId="0" fontId="85" fillId="24" borderId="134" xfId="0" applyFont="1" applyFill="1" applyBorder="1" applyAlignment="1">
      <alignment horizontal="center" vertical="center"/>
    </xf>
    <xf numFmtId="0" fontId="66" fillId="24" borderId="26" xfId="0" applyFont="1" applyFill="1" applyBorder="1" applyAlignment="1">
      <alignment horizontal="center" vertical="center" wrapText="1"/>
    </xf>
    <xf numFmtId="0" fontId="42" fillId="24" borderId="26" xfId="0" applyFont="1" applyFill="1" applyBorder="1" applyAlignment="1">
      <alignment horizontal="center" vertical="center"/>
    </xf>
    <xf numFmtId="0" fontId="66" fillId="24" borderId="137" xfId="0" applyFont="1" applyFill="1" applyBorder="1" applyAlignment="1">
      <alignment horizontal="center" vertical="center" textRotation="90"/>
    </xf>
    <xf numFmtId="0" fontId="66" fillId="24" borderId="132" xfId="0" applyFont="1" applyFill="1" applyBorder="1" applyAlignment="1">
      <alignment horizontal="center" vertical="center" textRotation="90"/>
    </xf>
    <xf numFmtId="0" fontId="42" fillId="24" borderId="138" xfId="0" applyFont="1" applyFill="1" applyBorder="1" applyAlignment="1" applyProtection="1">
      <alignment horizontal="center" vertical="center" wrapText="1"/>
      <protection hidden="1"/>
    </xf>
    <xf numFmtId="0" fontId="42" fillId="24" borderId="134" xfId="0" applyFont="1" applyFill="1" applyBorder="1" applyAlignment="1" applyProtection="1">
      <alignment horizontal="center" vertical="center" wrapText="1"/>
      <protection hidden="1"/>
    </xf>
    <xf numFmtId="0" fontId="42" fillId="24" borderId="135" xfId="0" applyFont="1" applyFill="1" applyBorder="1" applyAlignment="1" applyProtection="1">
      <alignment horizontal="center" vertical="center" wrapText="1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 textRotation="90" wrapText="1"/>
      <protection hidden="1"/>
    </xf>
    <xf numFmtId="0" fontId="39" fillId="4" borderId="0" xfId="0" applyFont="1" applyFill="1" applyAlignment="1" applyProtection="1">
      <alignment horizontal="center" vertical="center"/>
      <protection locked="0"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11" fillId="10" borderId="0" xfId="1" applyFont="1" applyFill="1" applyAlignment="1" applyProtection="1">
      <alignment horizontal="center" vertical="center"/>
      <protection hidden="1"/>
    </xf>
    <xf numFmtId="0" fontId="30" fillId="17" borderId="0" xfId="0" applyFont="1" applyFill="1" applyAlignment="1" applyProtection="1">
      <alignment horizontal="center" vertical="center"/>
      <protection hidden="1"/>
    </xf>
    <xf numFmtId="0" fontId="30" fillId="19" borderId="45" xfId="0" applyFont="1" applyFill="1" applyBorder="1" applyAlignment="1" applyProtection="1">
      <alignment horizontal="center" vertical="center"/>
      <protection hidden="1"/>
    </xf>
    <xf numFmtId="0" fontId="30" fillId="19" borderId="50" xfId="0" applyFont="1" applyFill="1" applyBorder="1" applyAlignment="1" applyProtection="1">
      <alignment horizontal="center" vertical="center"/>
      <protection hidden="1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8" borderId="41" xfId="0" applyFont="1" applyFill="1" applyBorder="1" applyAlignment="1" applyProtection="1">
      <alignment horizontal="center" vertical="center"/>
      <protection hidden="1"/>
    </xf>
    <xf numFmtId="0" fontId="41" fillId="4" borderId="57" xfId="0" applyFont="1" applyFill="1" applyBorder="1" applyAlignment="1" applyProtection="1">
      <alignment horizontal="center" vertical="center"/>
      <protection hidden="1"/>
    </xf>
    <xf numFmtId="0" fontId="41" fillId="4" borderId="60" xfId="0" applyFont="1" applyFill="1" applyBorder="1" applyAlignment="1" applyProtection="1">
      <alignment horizontal="center" vertical="center"/>
      <protection hidden="1"/>
    </xf>
    <xf numFmtId="0" fontId="41" fillId="4" borderId="67" xfId="0" applyFont="1" applyFill="1" applyBorder="1" applyAlignment="1" applyProtection="1">
      <alignment horizontal="center" vertical="center"/>
      <protection hidden="1"/>
    </xf>
    <xf numFmtId="0" fontId="41" fillId="4" borderId="68" xfId="0" applyFont="1" applyFill="1" applyBorder="1" applyAlignment="1" applyProtection="1">
      <alignment horizontal="center" vertical="center"/>
      <protection hidden="1"/>
    </xf>
    <xf numFmtId="0" fontId="41" fillId="4" borderId="69" xfId="0" applyFont="1" applyFill="1" applyBorder="1" applyAlignment="1" applyProtection="1">
      <alignment horizontal="center" vertical="center"/>
      <protection hidden="1"/>
    </xf>
    <xf numFmtId="0" fontId="41" fillId="4" borderId="58" xfId="0" applyFont="1" applyFill="1" applyBorder="1" applyAlignment="1" applyProtection="1">
      <alignment horizontal="center" vertical="center"/>
      <protection hidden="1"/>
    </xf>
    <xf numFmtId="0" fontId="41" fillId="4" borderId="61" xfId="0" applyFont="1" applyFill="1" applyBorder="1" applyAlignment="1" applyProtection="1">
      <alignment horizontal="center" vertical="center"/>
      <protection hidden="1"/>
    </xf>
    <xf numFmtId="0" fontId="41" fillId="4" borderId="59" xfId="0" applyFont="1" applyFill="1" applyBorder="1" applyAlignment="1" applyProtection="1">
      <alignment horizontal="center" vertical="center"/>
      <protection hidden="1"/>
    </xf>
    <xf numFmtId="0" fontId="41" fillId="4" borderId="62" xfId="0" applyFont="1" applyFill="1" applyBorder="1" applyAlignment="1" applyProtection="1">
      <alignment horizontal="center" vertical="center"/>
      <protection hidden="1"/>
    </xf>
    <xf numFmtId="0" fontId="30" fillId="19" borderId="51" xfId="0" applyFont="1" applyFill="1" applyBorder="1" applyAlignment="1" applyProtection="1">
      <alignment horizontal="center" vertical="center"/>
      <protection hidden="1"/>
    </xf>
    <xf numFmtId="0" fontId="30" fillId="19" borderId="52" xfId="0" applyFont="1" applyFill="1" applyBorder="1" applyAlignment="1" applyProtection="1">
      <alignment horizontal="center" vertical="center"/>
      <protection hidden="1"/>
    </xf>
    <xf numFmtId="0" fontId="30" fillId="17" borderId="39" xfId="0" applyFont="1" applyFill="1" applyBorder="1" applyAlignment="1" applyProtection="1">
      <alignment horizontal="center" vertical="center"/>
      <protection hidden="1"/>
    </xf>
    <xf numFmtId="0" fontId="2" fillId="3" borderId="145" xfId="0" applyFont="1" applyFill="1" applyBorder="1" applyAlignment="1" applyProtection="1">
      <alignment horizontal="center" vertical="center" textRotation="90" wrapText="1"/>
      <protection hidden="1"/>
    </xf>
    <xf numFmtId="0" fontId="2" fillId="3" borderId="146" xfId="0" applyFont="1" applyFill="1" applyBorder="1" applyAlignment="1" applyProtection="1">
      <alignment horizontal="center" vertical="center" textRotation="90" wrapText="1"/>
      <protection hidden="1"/>
    </xf>
    <xf numFmtId="0" fontId="30" fillId="0" borderId="132" xfId="0" applyFont="1" applyBorder="1" applyAlignment="1">
      <alignment horizontal="center" vertical="center"/>
    </xf>
    <xf numFmtId="0" fontId="30" fillId="0" borderId="133" xfId="0" applyFont="1" applyBorder="1" applyAlignment="1">
      <alignment horizontal="center" vertical="center"/>
    </xf>
    <xf numFmtId="0" fontId="30" fillId="0" borderId="134" xfId="0" applyFont="1" applyBorder="1" applyAlignment="1">
      <alignment horizontal="center" vertical="center"/>
    </xf>
    <xf numFmtId="0" fontId="85" fillId="24" borderId="116" xfId="0" applyFont="1" applyFill="1" applyBorder="1" applyAlignment="1">
      <alignment horizontal="center" vertical="center"/>
    </xf>
    <xf numFmtId="0" fontId="85" fillId="24" borderId="0" xfId="0" applyFont="1" applyFill="1" applyAlignment="1">
      <alignment horizontal="center" vertical="center"/>
    </xf>
    <xf numFmtId="0" fontId="2" fillId="3" borderId="148" xfId="0" applyFont="1" applyFill="1" applyBorder="1" applyAlignment="1" applyProtection="1">
      <alignment horizontal="center" vertical="center" textRotation="90" wrapText="1"/>
      <protection hidden="1"/>
    </xf>
    <xf numFmtId="0" fontId="2" fillId="3" borderId="149" xfId="0" applyFont="1" applyFill="1" applyBorder="1" applyAlignment="1" applyProtection="1">
      <alignment horizontal="center" vertical="center" textRotation="90" wrapText="1"/>
      <protection hidden="1"/>
    </xf>
    <xf numFmtId="0" fontId="2" fillId="3" borderId="147" xfId="0" applyFont="1" applyFill="1" applyBorder="1" applyAlignment="1" applyProtection="1">
      <alignment horizontal="center" vertical="center" textRotation="90" wrapText="1"/>
      <protection hidden="1"/>
    </xf>
    <xf numFmtId="0" fontId="42" fillId="24" borderId="137" xfId="0" applyFont="1" applyFill="1" applyBorder="1" applyAlignment="1">
      <alignment horizontal="center" vertical="center" wrapText="1"/>
    </xf>
    <xf numFmtId="0" fontId="42" fillId="24" borderId="132" xfId="0" applyFont="1" applyFill="1" applyBorder="1" applyAlignment="1">
      <alignment horizontal="center" vertical="center" wrapText="1"/>
    </xf>
    <xf numFmtId="0" fontId="42" fillId="24" borderId="24" xfId="0" applyFont="1" applyFill="1" applyBorder="1" applyAlignment="1">
      <alignment horizontal="center" vertical="center" wrapText="1"/>
    </xf>
    <xf numFmtId="0" fontId="42" fillId="24" borderId="133" xfId="0" applyFont="1" applyFill="1" applyBorder="1" applyAlignment="1">
      <alignment horizontal="center" vertical="center" wrapText="1"/>
    </xf>
  </cellXfs>
  <cellStyles count="6"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ارتباط تشعبي" xfId="1" builtinId="8"/>
    <cellStyle name="عادي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78ABED05-1333-4465-BECA-A59DB8BE1F60}"/>
            </a:ext>
          </a:extLst>
        </xdr:cNvPr>
        <xdr:cNvSpPr/>
      </xdr:nvSpPr>
      <xdr:spPr>
        <a:xfrm>
          <a:off x="101016130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9</xdr:row>
      <xdr:rowOff>173439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9</xdr:row>
      <xdr:rowOff>168968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83820</xdr:rowOff>
    </xdr:from>
    <xdr:to>
      <xdr:col>17</xdr:col>
      <xdr:colOff>44767</xdr:colOff>
      <xdr:row>42</xdr:row>
      <xdr:rowOff>152450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055C442-4EC3-4372-9DE2-E5015E0CC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817933" y="9227820"/>
          <a:ext cx="6590347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V20"/>
  <sheetViews>
    <sheetView rightToLeft="1" tabSelected="1" workbookViewId="0">
      <selection activeCell="B8" sqref="B8:I11"/>
    </sheetView>
  </sheetViews>
  <sheetFormatPr defaultColWidth="9" defaultRowHeight="16.8" x14ac:dyDescent="0.5"/>
  <cols>
    <col min="1" max="1" width="2.19921875" style="82" customWidth="1"/>
    <col min="2" max="2" width="4.3984375" style="82" customWidth="1"/>
    <col min="3" max="6" width="9" style="82"/>
    <col min="7" max="7" width="1.3984375" style="82" customWidth="1"/>
    <col min="8" max="8" width="12.796875" style="82" customWidth="1"/>
    <col min="9" max="9" width="16.8984375" style="82" customWidth="1"/>
    <col min="10" max="10" width="5" style="82" customWidth="1"/>
    <col min="11" max="11" width="9" style="82"/>
    <col min="12" max="12" width="2.796875" style="82" customWidth="1"/>
    <col min="13" max="14" width="9" style="82"/>
    <col min="15" max="15" width="3.3984375" style="82" customWidth="1"/>
    <col min="16" max="17" width="9" style="82"/>
    <col min="18" max="18" width="4.796875" style="82" customWidth="1"/>
    <col min="19" max="19" width="2" style="82" customWidth="1"/>
    <col min="20" max="20" width="8.8984375" style="82" customWidth="1"/>
    <col min="21" max="21" width="15.3984375" style="82" customWidth="1"/>
    <col min="22" max="16384" width="9" style="82"/>
  </cols>
  <sheetData>
    <row r="1" spans="1:22" ht="27" thickBot="1" x14ac:dyDescent="0.75">
      <c r="B1" s="309" t="s">
        <v>193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</row>
    <row r="2" spans="1:22" ht="19.5" customHeight="1" thickBot="1" x14ac:dyDescent="0.7">
      <c r="B2" s="310" t="s">
        <v>58</v>
      </c>
      <c r="C2" s="310"/>
      <c r="D2" s="310"/>
      <c r="E2" s="310"/>
      <c r="F2" s="310"/>
      <c r="G2" s="310"/>
      <c r="H2" s="310"/>
      <c r="I2" s="310"/>
      <c r="J2" s="83"/>
      <c r="K2" s="311" t="s">
        <v>181</v>
      </c>
      <c r="L2" s="312"/>
      <c r="M2" s="312"/>
      <c r="N2" s="312"/>
      <c r="O2" s="312"/>
      <c r="P2" s="312"/>
      <c r="Q2" s="312"/>
      <c r="R2" s="312"/>
      <c r="S2" s="312"/>
      <c r="T2" s="315" t="s">
        <v>192</v>
      </c>
      <c r="U2" s="316"/>
    </row>
    <row r="3" spans="1:22" ht="22.5" customHeight="1" thickBot="1" x14ac:dyDescent="0.7">
      <c r="A3" s="84">
        <v>1</v>
      </c>
      <c r="B3" s="319" t="s">
        <v>189</v>
      </c>
      <c r="C3" s="320"/>
      <c r="D3" s="320"/>
      <c r="E3" s="320"/>
      <c r="F3" s="320"/>
      <c r="G3" s="320"/>
      <c r="H3" s="320"/>
      <c r="I3" s="321"/>
      <c r="K3" s="313"/>
      <c r="L3" s="314"/>
      <c r="M3" s="314"/>
      <c r="N3" s="314"/>
      <c r="O3" s="314"/>
      <c r="P3" s="314"/>
      <c r="Q3" s="314"/>
      <c r="R3" s="314"/>
      <c r="S3" s="314"/>
      <c r="T3" s="317"/>
      <c r="U3" s="318"/>
    </row>
    <row r="4" spans="1:22" ht="22.5" customHeight="1" thickBot="1" x14ac:dyDescent="0.7">
      <c r="A4" s="84">
        <v>2</v>
      </c>
      <c r="B4" s="306" t="s">
        <v>190</v>
      </c>
      <c r="C4" s="307"/>
      <c r="D4" s="307"/>
      <c r="E4" s="307"/>
      <c r="F4" s="307"/>
      <c r="G4" s="307"/>
      <c r="H4" s="307"/>
      <c r="I4" s="308"/>
      <c r="K4" s="272" t="s">
        <v>15</v>
      </c>
      <c r="L4" s="273"/>
      <c r="M4" s="273"/>
      <c r="N4" s="273"/>
      <c r="O4" s="273"/>
      <c r="P4" s="273"/>
      <c r="Q4" s="273"/>
      <c r="R4" s="273"/>
      <c r="S4" s="274"/>
      <c r="T4" s="296">
        <v>1</v>
      </c>
      <c r="U4" s="297"/>
    </row>
    <row r="5" spans="1:22" ht="22.5" customHeight="1" x14ac:dyDescent="0.65">
      <c r="A5" s="84">
        <v>3</v>
      </c>
      <c r="B5" s="300" t="s">
        <v>318</v>
      </c>
      <c r="C5" s="301"/>
      <c r="D5" s="301"/>
      <c r="E5" s="301"/>
      <c r="F5" s="301"/>
      <c r="G5" s="301"/>
      <c r="H5" s="301"/>
      <c r="I5" s="302"/>
      <c r="K5" s="294" t="s">
        <v>182</v>
      </c>
      <c r="L5" s="295"/>
      <c r="M5" s="295"/>
      <c r="N5" s="295"/>
      <c r="O5" s="295"/>
      <c r="P5" s="295"/>
      <c r="Q5" s="295"/>
      <c r="R5" s="295"/>
      <c r="S5" s="295"/>
      <c r="T5" s="296">
        <v>1</v>
      </c>
      <c r="U5" s="297"/>
    </row>
    <row r="6" spans="1:22" ht="22.5" customHeight="1" thickBot="1" x14ac:dyDescent="0.7">
      <c r="A6" s="84"/>
      <c r="B6" s="303"/>
      <c r="C6" s="304"/>
      <c r="D6" s="304"/>
      <c r="E6" s="304"/>
      <c r="F6" s="304"/>
      <c r="G6" s="304"/>
      <c r="H6" s="304"/>
      <c r="I6" s="305"/>
      <c r="K6" s="294" t="s">
        <v>183</v>
      </c>
      <c r="L6" s="295"/>
      <c r="M6" s="295"/>
      <c r="N6" s="295"/>
      <c r="O6" s="295"/>
      <c r="P6" s="295"/>
      <c r="Q6" s="295"/>
      <c r="R6" s="295"/>
      <c r="S6" s="295"/>
      <c r="T6" s="298" t="s">
        <v>188</v>
      </c>
      <c r="U6" s="299"/>
    </row>
    <row r="7" spans="1:22" ht="22.5" customHeight="1" thickBot="1" x14ac:dyDescent="0.75">
      <c r="A7" s="84"/>
      <c r="B7" s="268" t="s">
        <v>60</v>
      </c>
      <c r="C7" s="269"/>
      <c r="D7" s="269"/>
      <c r="E7" s="269"/>
      <c r="F7" s="269"/>
      <c r="G7" s="269"/>
      <c r="H7" s="270" t="s">
        <v>59</v>
      </c>
      <c r="I7" s="271"/>
      <c r="K7" s="284" t="s">
        <v>184</v>
      </c>
      <c r="L7" s="285"/>
      <c r="M7" s="285"/>
      <c r="N7" s="285"/>
      <c r="O7" s="285"/>
      <c r="P7" s="285"/>
      <c r="Q7" s="285"/>
      <c r="R7" s="285"/>
      <c r="S7" s="286"/>
      <c r="T7" s="287">
        <v>0.5</v>
      </c>
      <c r="U7" s="288"/>
      <c r="V7" s="85"/>
    </row>
    <row r="8" spans="1:22" ht="22.5" customHeight="1" x14ac:dyDescent="0.65">
      <c r="A8" s="84"/>
      <c r="B8" s="282" t="s">
        <v>508</v>
      </c>
      <c r="C8" s="282"/>
      <c r="D8" s="282"/>
      <c r="E8" s="282"/>
      <c r="F8" s="282"/>
      <c r="G8" s="282"/>
      <c r="H8" s="282"/>
      <c r="I8" s="282"/>
      <c r="J8" s="85"/>
      <c r="K8" s="289" t="s">
        <v>185</v>
      </c>
      <c r="L8" s="290"/>
      <c r="M8" s="290"/>
      <c r="N8" s="290"/>
      <c r="O8" s="290"/>
      <c r="P8" s="290"/>
      <c r="Q8" s="290"/>
      <c r="R8" s="290"/>
      <c r="S8" s="290"/>
      <c r="T8" s="291">
        <v>0.2</v>
      </c>
      <c r="U8" s="292"/>
    </row>
    <row r="9" spans="1:22" ht="22.5" customHeight="1" x14ac:dyDescent="0.65">
      <c r="A9" s="84"/>
      <c r="B9" s="283"/>
      <c r="C9" s="283"/>
      <c r="D9" s="283"/>
      <c r="E9" s="283"/>
      <c r="F9" s="283"/>
      <c r="G9" s="283"/>
      <c r="H9" s="283"/>
      <c r="I9" s="283"/>
      <c r="J9" s="86"/>
      <c r="K9" s="289"/>
      <c r="L9" s="290"/>
      <c r="M9" s="290"/>
      <c r="N9" s="290"/>
      <c r="O9" s="290"/>
      <c r="P9" s="290"/>
      <c r="Q9" s="290"/>
      <c r="R9" s="290"/>
      <c r="S9" s="290"/>
      <c r="T9" s="293"/>
      <c r="U9" s="292"/>
    </row>
    <row r="10" spans="1:22" ht="22.5" customHeight="1" x14ac:dyDescent="0.65">
      <c r="A10" s="84">
        <v>4</v>
      </c>
      <c r="B10" s="283"/>
      <c r="C10" s="283"/>
      <c r="D10" s="283"/>
      <c r="E10" s="283"/>
      <c r="F10" s="283"/>
      <c r="G10" s="283"/>
      <c r="H10" s="283"/>
      <c r="I10" s="283"/>
      <c r="K10" s="272" t="s">
        <v>186</v>
      </c>
      <c r="L10" s="273"/>
      <c r="M10" s="273"/>
      <c r="N10" s="273"/>
      <c r="O10" s="273"/>
      <c r="P10" s="273"/>
      <c r="Q10" s="273"/>
      <c r="R10" s="273"/>
      <c r="S10" s="274"/>
      <c r="T10" s="275">
        <v>0.2</v>
      </c>
      <c r="U10" s="276"/>
    </row>
    <row r="11" spans="1:22" ht="44.25" customHeight="1" thickBot="1" x14ac:dyDescent="0.7">
      <c r="A11" s="84"/>
      <c r="B11" s="283"/>
      <c r="C11" s="283"/>
      <c r="D11" s="283"/>
      <c r="E11" s="283"/>
      <c r="F11" s="283"/>
      <c r="G11" s="283"/>
      <c r="H11" s="283"/>
      <c r="I11" s="283"/>
      <c r="K11" s="277" t="s">
        <v>196</v>
      </c>
      <c r="L11" s="278"/>
      <c r="M11" s="278"/>
      <c r="N11" s="278"/>
      <c r="O11" s="278"/>
      <c r="P11" s="278"/>
      <c r="Q11" s="278"/>
      <c r="R11" s="278"/>
      <c r="S11" s="279"/>
      <c r="T11" s="280">
        <v>0.2</v>
      </c>
      <c r="U11" s="281"/>
    </row>
    <row r="12" spans="1:22" ht="39.75" customHeight="1" thickBot="1" x14ac:dyDescent="0.7">
      <c r="A12" s="84"/>
      <c r="B12" s="253" t="s">
        <v>191</v>
      </c>
      <c r="C12" s="254"/>
      <c r="D12" s="254"/>
      <c r="E12" s="254"/>
      <c r="F12" s="254"/>
      <c r="G12" s="254"/>
      <c r="H12" s="254"/>
      <c r="I12" s="255"/>
      <c r="K12" s="263" t="s">
        <v>187</v>
      </c>
      <c r="L12" s="264"/>
      <c r="M12" s="264"/>
      <c r="N12" s="264"/>
      <c r="O12" s="264"/>
      <c r="P12" s="264"/>
      <c r="Q12" s="264"/>
      <c r="R12" s="264"/>
      <c r="S12" s="265"/>
      <c r="T12" s="266">
        <v>0.5</v>
      </c>
      <c r="U12" s="267"/>
    </row>
    <row r="13" spans="1:22" ht="22.5" customHeight="1" x14ac:dyDescent="0.65">
      <c r="A13" s="84">
        <v>5</v>
      </c>
      <c r="B13" s="260" t="s">
        <v>197</v>
      </c>
      <c r="C13" s="260"/>
      <c r="D13" s="260"/>
      <c r="E13" s="260"/>
      <c r="F13" s="260"/>
      <c r="G13" s="260"/>
      <c r="H13" s="260"/>
      <c r="I13" s="260"/>
      <c r="K13" s="256" t="s">
        <v>194</v>
      </c>
      <c r="L13" s="257"/>
      <c r="M13" s="257"/>
      <c r="N13" s="257"/>
      <c r="O13" s="257"/>
      <c r="P13" s="257"/>
      <c r="Q13" s="257"/>
      <c r="R13" s="257"/>
      <c r="S13" s="257"/>
      <c r="T13" s="257"/>
      <c r="U13" s="257"/>
    </row>
    <row r="14" spans="1:22" ht="22.5" customHeight="1" x14ac:dyDescent="0.65">
      <c r="A14" s="84"/>
      <c r="B14" s="261"/>
      <c r="C14" s="261"/>
      <c r="D14" s="261"/>
      <c r="E14" s="261"/>
      <c r="F14" s="261"/>
      <c r="G14" s="261"/>
      <c r="H14" s="261"/>
      <c r="I14" s="261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</row>
    <row r="15" spans="1:22" ht="3.75" customHeight="1" x14ac:dyDescent="0.65">
      <c r="A15" s="84"/>
      <c r="B15" s="261"/>
      <c r="C15" s="261"/>
      <c r="D15" s="261"/>
      <c r="E15" s="261"/>
      <c r="F15" s="261"/>
      <c r="G15" s="261"/>
      <c r="H15" s="261"/>
      <c r="I15" s="261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</row>
    <row r="16" spans="1:22" ht="26.25" customHeight="1" x14ac:dyDescent="0.65">
      <c r="A16" s="84">
        <v>6</v>
      </c>
      <c r="B16" s="261"/>
      <c r="C16" s="261"/>
      <c r="D16" s="261"/>
      <c r="E16" s="261"/>
      <c r="F16" s="261"/>
      <c r="G16" s="261"/>
      <c r="H16" s="261"/>
      <c r="I16" s="261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</row>
    <row r="17" spans="2:21" ht="19.5" customHeight="1" x14ac:dyDescent="0.5">
      <c r="B17" s="261"/>
      <c r="C17" s="261"/>
      <c r="D17" s="261"/>
      <c r="E17" s="261"/>
      <c r="F17" s="261"/>
      <c r="G17" s="261"/>
      <c r="H17" s="261"/>
      <c r="I17" s="261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</row>
    <row r="18" spans="2:21" ht="19.5" customHeight="1" x14ac:dyDescent="0.65">
      <c r="B18" s="261"/>
      <c r="C18" s="261"/>
      <c r="D18" s="261"/>
      <c r="E18" s="261"/>
      <c r="F18" s="261"/>
      <c r="G18" s="261"/>
      <c r="H18" s="261"/>
      <c r="I18" s="261"/>
      <c r="K18" s="87"/>
      <c r="M18" s="258"/>
      <c r="N18" s="258"/>
      <c r="O18" s="258"/>
      <c r="P18" s="88"/>
      <c r="Q18" s="259"/>
      <c r="R18" s="259"/>
      <c r="S18" s="87"/>
      <c r="T18" s="87"/>
      <c r="U18" s="87"/>
    </row>
    <row r="19" spans="2:21" ht="21.75" customHeight="1" thickBot="1" x14ac:dyDescent="0.55000000000000004">
      <c r="B19" s="262"/>
      <c r="C19" s="262"/>
      <c r="D19" s="262"/>
      <c r="E19" s="262"/>
      <c r="F19" s="262"/>
      <c r="G19" s="262"/>
      <c r="H19" s="262"/>
      <c r="I19" s="262"/>
    </row>
    <row r="20" spans="2:21" ht="3.75" customHeight="1" x14ac:dyDescent="0.5"/>
  </sheetData>
  <mergeCells count="32">
    <mergeCell ref="B4:I4"/>
    <mergeCell ref="K4:S4"/>
    <mergeCell ref="T4:U4"/>
    <mergeCell ref="B1:U1"/>
    <mergeCell ref="B2:I2"/>
    <mergeCell ref="K2:S3"/>
    <mergeCell ref="T2:U3"/>
    <mergeCell ref="B3:I3"/>
    <mergeCell ref="K5:S5"/>
    <mergeCell ref="T5:U5"/>
    <mergeCell ref="K6:S6"/>
    <mergeCell ref="T6:U6"/>
    <mergeCell ref="B5:I6"/>
    <mergeCell ref="B7:G7"/>
    <mergeCell ref="H7:I7"/>
    <mergeCell ref="K10:S10"/>
    <mergeCell ref="T10:U10"/>
    <mergeCell ref="K11:S11"/>
    <mergeCell ref="T11:U11"/>
    <mergeCell ref="B8:I11"/>
    <mergeCell ref="K7:S7"/>
    <mergeCell ref="T7:U7"/>
    <mergeCell ref="K8:S9"/>
    <mergeCell ref="T8:U9"/>
    <mergeCell ref="B12:I12"/>
    <mergeCell ref="K13:U14"/>
    <mergeCell ref="K15:U17"/>
    <mergeCell ref="M18:O18"/>
    <mergeCell ref="Q18:R18"/>
    <mergeCell ref="B13:I19"/>
    <mergeCell ref="K12:S12"/>
    <mergeCell ref="T12:U12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448D-E0F6-45DE-B100-BEB0352D4ABC}">
  <dimension ref="A1:D490"/>
  <sheetViews>
    <sheetView rightToLeft="1" workbookViewId="0">
      <selection activeCell="A2" sqref="A2"/>
    </sheetView>
  </sheetViews>
  <sheetFormatPr defaultRowHeight="13.8" x14ac:dyDescent="0.25"/>
  <cols>
    <col min="1" max="1" width="10.19921875" style="238" bestFit="1" customWidth="1"/>
    <col min="2" max="4" width="15.59765625" style="238" customWidth="1"/>
    <col min="5" max="5" width="15.59765625" customWidth="1"/>
  </cols>
  <sheetData>
    <row r="1" spans="1:4" x14ac:dyDescent="0.25">
      <c r="A1" s="236" t="s">
        <v>289</v>
      </c>
      <c r="B1" s="236" t="s">
        <v>290</v>
      </c>
      <c r="C1" s="236" t="s">
        <v>49</v>
      </c>
      <c r="D1" s="236" t="s">
        <v>50</v>
      </c>
    </row>
    <row r="2" spans="1:4" ht="26.4" customHeight="1" x14ac:dyDescent="0.25">
      <c r="A2" s="237">
        <v>340136</v>
      </c>
      <c r="B2" s="237" t="s">
        <v>344</v>
      </c>
      <c r="C2" s="237" t="s">
        <v>345</v>
      </c>
      <c r="D2" s="237" t="s">
        <v>346</v>
      </c>
    </row>
    <row r="3" spans="1:4" ht="26.4" customHeight="1" x14ac:dyDescent="0.25">
      <c r="A3" s="237">
        <v>340137</v>
      </c>
      <c r="B3" s="237" t="s">
        <v>347</v>
      </c>
      <c r="C3" s="237" t="s">
        <v>329</v>
      </c>
      <c r="D3" s="237" t="s">
        <v>348</v>
      </c>
    </row>
    <row r="4" spans="1:4" ht="26.4" customHeight="1" x14ac:dyDescent="0.25">
      <c r="A4" s="237">
        <v>340138</v>
      </c>
      <c r="B4" s="237" t="s">
        <v>349</v>
      </c>
      <c r="C4" s="237" t="s">
        <v>350</v>
      </c>
      <c r="D4" s="237" t="s">
        <v>351</v>
      </c>
    </row>
    <row r="5" spans="1:4" ht="26.4" customHeight="1" x14ac:dyDescent="0.25">
      <c r="A5" s="237">
        <v>340139</v>
      </c>
      <c r="B5" s="237" t="s">
        <v>352</v>
      </c>
      <c r="C5" s="237" t="s">
        <v>353</v>
      </c>
      <c r="D5" s="237" t="s">
        <v>322</v>
      </c>
    </row>
    <row r="6" spans="1:4" ht="26.4" customHeight="1" x14ac:dyDescent="0.25">
      <c r="A6" s="237">
        <v>340140</v>
      </c>
      <c r="B6" s="237" t="s">
        <v>354</v>
      </c>
      <c r="C6" s="237" t="s">
        <v>198</v>
      </c>
      <c r="D6" s="237" t="s">
        <v>355</v>
      </c>
    </row>
    <row r="7" spans="1:4" ht="26.4" customHeight="1" x14ac:dyDescent="0.25">
      <c r="A7" s="237">
        <v>340141</v>
      </c>
      <c r="B7" s="237" t="s">
        <v>356</v>
      </c>
      <c r="C7" s="237" t="s">
        <v>198</v>
      </c>
      <c r="D7" s="237" t="s">
        <v>357</v>
      </c>
    </row>
    <row r="8" spans="1:4" ht="26.4" customHeight="1" x14ac:dyDescent="0.25">
      <c r="A8" s="237">
        <v>340142</v>
      </c>
      <c r="B8" s="237" t="s">
        <v>358</v>
      </c>
      <c r="C8" s="237" t="s">
        <v>202</v>
      </c>
      <c r="D8" s="237" t="s">
        <v>359</v>
      </c>
    </row>
    <row r="9" spans="1:4" ht="26.4" customHeight="1" x14ac:dyDescent="0.25">
      <c r="A9" s="237">
        <v>340143</v>
      </c>
      <c r="B9" s="237" t="s">
        <v>360</v>
      </c>
      <c r="C9" s="237" t="s">
        <v>204</v>
      </c>
      <c r="D9" s="237" t="s">
        <v>361</v>
      </c>
    </row>
    <row r="10" spans="1:4" ht="26.4" customHeight="1" x14ac:dyDescent="0.25">
      <c r="A10" s="237">
        <v>340144</v>
      </c>
      <c r="B10" s="237" t="s">
        <v>362</v>
      </c>
      <c r="C10" s="237" t="s">
        <v>363</v>
      </c>
      <c r="D10" s="237" t="s">
        <v>364</v>
      </c>
    </row>
    <row r="11" spans="1:4" ht="26.4" customHeight="1" x14ac:dyDescent="0.25">
      <c r="A11" s="237">
        <v>340145</v>
      </c>
      <c r="B11" s="237" t="s">
        <v>365</v>
      </c>
      <c r="C11" s="237" t="s">
        <v>366</v>
      </c>
      <c r="D11" s="237" t="s">
        <v>367</v>
      </c>
    </row>
    <row r="12" spans="1:4" ht="26.4" customHeight="1" x14ac:dyDescent="0.25">
      <c r="A12" s="237">
        <v>340146</v>
      </c>
      <c r="B12" s="237" t="s">
        <v>368</v>
      </c>
      <c r="C12" s="237" t="s">
        <v>369</v>
      </c>
      <c r="D12" s="237" t="s">
        <v>207</v>
      </c>
    </row>
    <row r="13" spans="1:4" ht="26.4" customHeight="1" x14ac:dyDescent="0.25">
      <c r="A13" s="237">
        <v>340147</v>
      </c>
      <c r="B13" s="237" t="s">
        <v>370</v>
      </c>
      <c r="C13" s="237" t="s">
        <v>371</v>
      </c>
      <c r="D13" s="237" t="s">
        <v>327</v>
      </c>
    </row>
    <row r="14" spans="1:4" ht="26.4" customHeight="1" x14ac:dyDescent="0.25">
      <c r="A14" s="237">
        <v>340148</v>
      </c>
      <c r="B14" s="237" t="s">
        <v>372</v>
      </c>
      <c r="C14" s="237" t="s">
        <v>320</v>
      </c>
      <c r="D14" s="237" t="s">
        <v>373</v>
      </c>
    </row>
    <row r="15" spans="1:4" ht="26.4" customHeight="1" x14ac:dyDescent="0.25">
      <c r="A15" s="237">
        <v>340149</v>
      </c>
      <c r="B15" s="237" t="s">
        <v>374</v>
      </c>
      <c r="C15" s="237" t="s">
        <v>209</v>
      </c>
      <c r="D15" s="237" t="s">
        <v>208</v>
      </c>
    </row>
    <row r="16" spans="1:4" ht="26.4" customHeight="1" x14ac:dyDescent="0.25">
      <c r="A16" s="237">
        <v>340150</v>
      </c>
      <c r="B16" s="237" t="s">
        <v>375</v>
      </c>
      <c r="C16" s="237" t="s">
        <v>376</v>
      </c>
      <c r="D16" s="237" t="s">
        <v>377</v>
      </c>
    </row>
    <row r="17" spans="1:4" ht="26.4" customHeight="1" x14ac:dyDescent="0.25">
      <c r="A17" s="237">
        <v>340151</v>
      </c>
      <c r="B17" s="237" t="s">
        <v>378</v>
      </c>
      <c r="C17" s="237" t="s">
        <v>333</v>
      </c>
      <c r="D17" s="237" t="s">
        <v>379</v>
      </c>
    </row>
    <row r="18" spans="1:4" ht="26.4" customHeight="1" x14ac:dyDescent="0.25">
      <c r="A18" s="237">
        <v>340152</v>
      </c>
      <c r="B18" s="237" t="s">
        <v>380</v>
      </c>
      <c r="C18" s="237" t="s">
        <v>319</v>
      </c>
      <c r="D18" s="237" t="s">
        <v>381</v>
      </c>
    </row>
    <row r="19" spans="1:4" ht="26.4" customHeight="1" x14ac:dyDescent="0.25">
      <c r="A19" s="237">
        <v>340153</v>
      </c>
      <c r="B19" s="237" t="s">
        <v>382</v>
      </c>
      <c r="C19" s="237" t="s">
        <v>340</v>
      </c>
      <c r="D19" s="237" t="s">
        <v>383</v>
      </c>
    </row>
    <row r="20" spans="1:4" ht="26.4" customHeight="1" x14ac:dyDescent="0.25">
      <c r="A20" s="237">
        <v>340154</v>
      </c>
      <c r="B20" s="237" t="s">
        <v>384</v>
      </c>
      <c r="C20" s="237" t="s">
        <v>337</v>
      </c>
      <c r="D20" s="237" t="s">
        <v>385</v>
      </c>
    </row>
    <row r="21" spans="1:4" ht="26.4" customHeight="1" x14ac:dyDescent="0.25">
      <c r="A21" s="237">
        <v>340155</v>
      </c>
      <c r="B21" s="237" t="s">
        <v>386</v>
      </c>
      <c r="C21" s="237" t="s">
        <v>387</v>
      </c>
      <c r="D21" s="237" t="s">
        <v>388</v>
      </c>
    </row>
    <row r="22" spans="1:4" ht="26.4" customHeight="1" x14ac:dyDescent="0.25">
      <c r="A22" s="237">
        <v>340156</v>
      </c>
      <c r="B22" s="237" t="s">
        <v>389</v>
      </c>
      <c r="C22" s="237" t="s">
        <v>390</v>
      </c>
      <c r="D22" s="237" t="s">
        <v>391</v>
      </c>
    </row>
    <row r="23" spans="1:4" ht="26.4" customHeight="1" x14ac:dyDescent="0.25">
      <c r="A23" s="237">
        <v>340157</v>
      </c>
      <c r="B23" s="237" t="s">
        <v>392</v>
      </c>
      <c r="C23" s="237" t="s">
        <v>393</v>
      </c>
      <c r="D23" s="237" t="s">
        <v>348</v>
      </c>
    </row>
    <row r="24" spans="1:4" ht="26.4" customHeight="1" x14ac:dyDescent="0.25">
      <c r="A24" s="237">
        <v>340158</v>
      </c>
      <c r="B24" s="237" t="s">
        <v>394</v>
      </c>
      <c r="C24" s="237" t="s">
        <v>395</v>
      </c>
      <c r="D24" s="237" t="s">
        <v>396</v>
      </c>
    </row>
    <row r="25" spans="1:4" ht="26.4" customHeight="1" x14ac:dyDescent="0.25">
      <c r="A25" s="237">
        <v>340159</v>
      </c>
      <c r="B25" s="237" t="s">
        <v>397</v>
      </c>
      <c r="C25" s="237" t="s">
        <v>398</v>
      </c>
      <c r="D25" s="237" t="s">
        <v>399</v>
      </c>
    </row>
    <row r="26" spans="1:4" ht="26.4" customHeight="1" x14ac:dyDescent="0.25">
      <c r="A26" s="237">
        <v>340160</v>
      </c>
      <c r="B26" s="237" t="s">
        <v>334</v>
      </c>
      <c r="C26" s="237" t="s">
        <v>335</v>
      </c>
      <c r="D26" s="237" t="s">
        <v>336</v>
      </c>
    </row>
    <row r="27" spans="1:4" ht="26.4" customHeight="1" x14ac:dyDescent="0.25">
      <c r="A27" s="237">
        <v>340161</v>
      </c>
      <c r="B27" s="237" t="s">
        <v>400</v>
      </c>
      <c r="C27" s="237" t="s">
        <v>401</v>
      </c>
      <c r="D27" s="237" t="s">
        <v>326</v>
      </c>
    </row>
    <row r="28" spans="1:4" ht="26.4" customHeight="1" x14ac:dyDescent="0.25">
      <c r="A28" s="237">
        <v>340162</v>
      </c>
      <c r="B28" s="237" t="s">
        <v>402</v>
      </c>
      <c r="C28" s="237" t="s">
        <v>201</v>
      </c>
      <c r="D28" s="237" t="s">
        <v>403</v>
      </c>
    </row>
    <row r="29" spans="1:4" ht="26.4" customHeight="1" x14ac:dyDescent="0.25">
      <c r="A29" s="237">
        <v>340163</v>
      </c>
      <c r="B29" s="237" t="s">
        <v>404</v>
      </c>
      <c r="C29" s="237" t="s">
        <v>204</v>
      </c>
      <c r="D29" s="237" t="s">
        <v>324</v>
      </c>
    </row>
    <row r="30" spans="1:4" ht="26.4" customHeight="1" x14ac:dyDescent="0.25">
      <c r="A30" s="237">
        <v>340164</v>
      </c>
      <c r="B30" s="237" t="s">
        <v>405</v>
      </c>
      <c r="C30" s="237" t="s">
        <v>406</v>
      </c>
      <c r="D30" s="237" t="s">
        <v>348</v>
      </c>
    </row>
    <row r="31" spans="1:4" ht="26.4" customHeight="1" x14ac:dyDescent="0.25">
      <c r="A31" s="237">
        <v>340165</v>
      </c>
      <c r="B31" s="237" t="s">
        <v>407</v>
      </c>
      <c r="C31" s="237" t="s">
        <v>408</v>
      </c>
      <c r="D31" s="237" t="s">
        <v>328</v>
      </c>
    </row>
    <row r="32" spans="1:4" ht="26.4" customHeight="1" x14ac:dyDescent="0.25">
      <c r="A32" s="237">
        <v>340166</v>
      </c>
      <c r="B32" s="237" t="s">
        <v>409</v>
      </c>
      <c r="C32" s="237" t="s">
        <v>203</v>
      </c>
      <c r="D32" s="237" t="s">
        <v>410</v>
      </c>
    </row>
    <row r="33" spans="1:4" ht="26.4" customHeight="1" x14ac:dyDescent="0.25">
      <c r="A33" s="237">
        <v>340167</v>
      </c>
      <c r="B33" s="237" t="s">
        <v>411</v>
      </c>
      <c r="C33" s="237" t="s">
        <v>412</v>
      </c>
      <c r="D33" s="237" t="s">
        <v>413</v>
      </c>
    </row>
    <row r="34" spans="1:4" ht="26.4" customHeight="1" x14ac:dyDescent="0.25">
      <c r="A34" s="237">
        <v>340168</v>
      </c>
      <c r="B34" s="237" t="s">
        <v>414</v>
      </c>
      <c r="C34" s="237" t="s">
        <v>415</v>
      </c>
      <c r="D34" s="237" t="s">
        <v>330</v>
      </c>
    </row>
    <row r="35" spans="1:4" ht="26.4" customHeight="1" x14ac:dyDescent="0.25">
      <c r="A35" s="237">
        <v>340169</v>
      </c>
      <c r="B35" s="237" t="s">
        <v>416</v>
      </c>
      <c r="C35" s="237" t="s">
        <v>417</v>
      </c>
      <c r="D35" s="237" t="s">
        <v>418</v>
      </c>
    </row>
    <row r="36" spans="1:4" ht="26.4" customHeight="1" x14ac:dyDescent="0.25">
      <c r="A36" s="237">
        <v>340170</v>
      </c>
      <c r="B36" s="237" t="s">
        <v>419</v>
      </c>
      <c r="C36" s="237" t="s">
        <v>420</v>
      </c>
      <c r="D36" s="237" t="s">
        <v>421</v>
      </c>
    </row>
    <row r="37" spans="1:4" ht="26.4" customHeight="1" x14ac:dyDescent="0.25">
      <c r="A37" s="237">
        <v>340171</v>
      </c>
      <c r="B37" s="237" t="s">
        <v>422</v>
      </c>
      <c r="C37" s="237" t="s">
        <v>423</v>
      </c>
      <c r="D37" s="237" t="s">
        <v>357</v>
      </c>
    </row>
    <row r="38" spans="1:4" ht="26.4" customHeight="1" x14ac:dyDescent="0.25">
      <c r="A38" s="237">
        <v>340172</v>
      </c>
      <c r="B38" s="237" t="s">
        <v>424</v>
      </c>
      <c r="C38" s="237" t="s">
        <v>198</v>
      </c>
      <c r="D38" s="237" t="s">
        <v>425</v>
      </c>
    </row>
    <row r="39" spans="1:4" ht="26.4" customHeight="1" x14ac:dyDescent="0.25">
      <c r="A39" s="237">
        <v>340173</v>
      </c>
      <c r="B39" s="237" t="s">
        <v>426</v>
      </c>
      <c r="C39" s="237" t="s">
        <v>427</v>
      </c>
      <c r="D39" s="237" t="s">
        <v>428</v>
      </c>
    </row>
    <row r="40" spans="1:4" ht="26.4" customHeight="1" x14ac:dyDescent="0.25">
      <c r="A40" s="237">
        <v>340174</v>
      </c>
      <c r="B40" s="237" t="s">
        <v>429</v>
      </c>
      <c r="C40" s="237" t="s">
        <v>201</v>
      </c>
      <c r="D40" s="237" t="s">
        <v>325</v>
      </c>
    </row>
    <row r="41" spans="1:4" ht="26.4" customHeight="1" x14ac:dyDescent="0.25">
      <c r="A41" s="237">
        <v>340175</v>
      </c>
      <c r="B41" s="237" t="s">
        <v>430</v>
      </c>
      <c r="C41" s="237" t="s">
        <v>431</v>
      </c>
      <c r="D41" s="237" t="s">
        <v>399</v>
      </c>
    </row>
    <row r="42" spans="1:4" ht="26.4" customHeight="1" x14ac:dyDescent="0.25">
      <c r="A42" s="237">
        <v>340176</v>
      </c>
      <c r="B42" s="237" t="s">
        <v>432</v>
      </c>
      <c r="C42" s="237" t="s">
        <v>433</v>
      </c>
      <c r="D42" s="237" t="s">
        <v>326</v>
      </c>
    </row>
    <row r="43" spans="1:4" ht="26.4" customHeight="1" x14ac:dyDescent="0.25">
      <c r="A43" s="237">
        <v>340177</v>
      </c>
      <c r="B43" s="237" t="s">
        <v>434</v>
      </c>
      <c r="C43" s="237" t="s">
        <v>435</v>
      </c>
      <c r="D43" s="237" t="s">
        <v>323</v>
      </c>
    </row>
    <row r="44" spans="1:4" ht="26.4" customHeight="1" x14ac:dyDescent="0.25">
      <c r="A44" s="237">
        <v>340178</v>
      </c>
      <c r="B44" s="237" t="s">
        <v>436</v>
      </c>
      <c r="C44" s="237" t="s">
        <v>204</v>
      </c>
      <c r="D44" s="237" t="s">
        <v>437</v>
      </c>
    </row>
    <row r="45" spans="1:4" ht="26.4" customHeight="1" x14ac:dyDescent="0.25">
      <c r="A45" s="237">
        <v>340179</v>
      </c>
      <c r="B45" s="237" t="s">
        <v>438</v>
      </c>
      <c r="C45" s="237" t="s">
        <v>200</v>
      </c>
      <c r="D45" s="237" t="s">
        <v>439</v>
      </c>
    </row>
    <row r="46" spans="1:4" ht="26.4" customHeight="1" x14ac:dyDescent="0.25">
      <c r="A46" s="237">
        <v>340180</v>
      </c>
      <c r="B46" s="237" t="s">
        <v>440</v>
      </c>
      <c r="C46" s="237" t="s">
        <v>209</v>
      </c>
      <c r="D46" s="237" t="s">
        <v>441</v>
      </c>
    </row>
    <row r="47" spans="1:4" ht="26.4" customHeight="1" x14ac:dyDescent="0.25">
      <c r="A47" s="237">
        <v>340181</v>
      </c>
      <c r="B47" s="237" t="s">
        <v>442</v>
      </c>
      <c r="C47" s="237" t="s">
        <v>443</v>
      </c>
      <c r="D47" s="237" t="s">
        <v>444</v>
      </c>
    </row>
    <row r="48" spans="1:4" ht="26.4" customHeight="1" x14ac:dyDescent="0.25">
      <c r="A48" s="237">
        <v>340182</v>
      </c>
      <c r="B48" s="237" t="s">
        <v>445</v>
      </c>
      <c r="C48" s="237" t="s">
        <v>320</v>
      </c>
      <c r="D48" s="237" t="s">
        <v>446</v>
      </c>
    </row>
    <row r="49" spans="1:4" ht="26.4" customHeight="1" x14ac:dyDescent="0.25">
      <c r="A49" s="237">
        <v>340183</v>
      </c>
      <c r="B49" s="237" t="s">
        <v>447</v>
      </c>
      <c r="C49" s="237" t="s">
        <v>448</v>
      </c>
      <c r="D49" s="237" t="s">
        <v>449</v>
      </c>
    </row>
    <row r="50" spans="1:4" ht="26.4" customHeight="1" x14ac:dyDescent="0.25">
      <c r="A50" s="237">
        <v>340184</v>
      </c>
      <c r="B50" s="237" t="s">
        <v>450</v>
      </c>
      <c r="C50" s="237" t="s">
        <v>451</v>
      </c>
      <c r="D50" s="237" t="s">
        <v>452</v>
      </c>
    </row>
    <row r="51" spans="1:4" ht="26.4" customHeight="1" x14ac:dyDescent="0.25">
      <c r="A51" s="237">
        <v>340185</v>
      </c>
      <c r="B51" s="237" t="s">
        <v>453</v>
      </c>
      <c r="C51" s="237" t="s">
        <v>454</v>
      </c>
      <c r="D51" s="237" t="s">
        <v>207</v>
      </c>
    </row>
    <row r="52" spans="1:4" ht="26.4" customHeight="1" x14ac:dyDescent="0.25">
      <c r="A52" s="237">
        <v>340186</v>
      </c>
      <c r="B52" s="237" t="s">
        <v>455</v>
      </c>
      <c r="C52" s="237" t="s">
        <v>456</v>
      </c>
      <c r="D52" s="237" t="s">
        <v>207</v>
      </c>
    </row>
    <row r="53" spans="1:4" ht="26.4" customHeight="1" x14ac:dyDescent="0.25">
      <c r="A53" s="237">
        <v>340187</v>
      </c>
      <c r="B53" s="237" t="s">
        <v>457</v>
      </c>
      <c r="C53" s="237" t="s">
        <v>343</v>
      </c>
      <c r="D53" s="237" t="s">
        <v>458</v>
      </c>
    </row>
    <row r="54" spans="1:4" ht="26.4" customHeight="1" x14ac:dyDescent="0.25">
      <c r="A54" s="237">
        <v>340188</v>
      </c>
      <c r="B54" s="237" t="s">
        <v>459</v>
      </c>
      <c r="C54" s="237" t="s">
        <v>460</v>
      </c>
      <c r="D54" s="237" t="s">
        <v>342</v>
      </c>
    </row>
    <row r="55" spans="1:4" ht="26.4" customHeight="1" x14ac:dyDescent="0.25">
      <c r="A55" s="237">
        <v>340189</v>
      </c>
      <c r="B55" s="237" t="s">
        <v>461</v>
      </c>
      <c r="C55" s="237" t="s">
        <v>206</v>
      </c>
      <c r="D55" s="237" t="s">
        <v>462</v>
      </c>
    </row>
    <row r="56" spans="1:4" ht="26.4" customHeight="1" x14ac:dyDescent="0.25">
      <c r="A56" s="237">
        <v>340190</v>
      </c>
      <c r="B56" s="237" t="s">
        <v>463</v>
      </c>
      <c r="C56" s="237" t="s">
        <v>332</v>
      </c>
      <c r="D56" s="237" t="s">
        <v>210</v>
      </c>
    </row>
    <row r="57" spans="1:4" ht="26.4" customHeight="1" x14ac:dyDescent="0.25">
      <c r="A57" s="237">
        <v>340191</v>
      </c>
      <c r="B57" s="237" t="s">
        <v>464</v>
      </c>
      <c r="C57" s="237" t="s">
        <v>201</v>
      </c>
      <c r="D57" s="237" t="s">
        <v>207</v>
      </c>
    </row>
    <row r="58" spans="1:4" ht="26.4" customHeight="1" x14ac:dyDescent="0.25">
      <c r="A58" s="237">
        <v>340192</v>
      </c>
      <c r="B58" s="237" t="s">
        <v>465</v>
      </c>
      <c r="C58" s="237" t="s">
        <v>201</v>
      </c>
      <c r="D58" s="237" t="s">
        <v>466</v>
      </c>
    </row>
    <row r="59" spans="1:4" ht="26.4" customHeight="1" x14ac:dyDescent="0.25">
      <c r="A59" s="237">
        <v>340193</v>
      </c>
      <c r="B59" s="237" t="s">
        <v>467</v>
      </c>
      <c r="C59" s="237" t="s">
        <v>341</v>
      </c>
      <c r="D59" s="237" t="s">
        <v>373</v>
      </c>
    </row>
    <row r="60" spans="1:4" ht="26.4" customHeight="1" x14ac:dyDescent="0.25">
      <c r="A60" s="237">
        <v>340194</v>
      </c>
      <c r="B60" s="237" t="s">
        <v>468</v>
      </c>
      <c r="C60" s="237" t="s">
        <v>211</v>
      </c>
      <c r="D60" s="237" t="s">
        <v>469</v>
      </c>
    </row>
    <row r="61" spans="1:4" ht="26.4" customHeight="1" x14ac:dyDescent="0.25">
      <c r="A61" s="237">
        <v>340195</v>
      </c>
      <c r="B61" s="237" t="s">
        <v>470</v>
      </c>
      <c r="C61" s="237" t="s">
        <v>471</v>
      </c>
      <c r="D61" s="237" t="s">
        <v>446</v>
      </c>
    </row>
    <row r="62" spans="1:4" ht="26.4" customHeight="1" x14ac:dyDescent="0.25">
      <c r="A62" s="237">
        <v>340196</v>
      </c>
      <c r="B62" s="237" t="s">
        <v>472</v>
      </c>
      <c r="C62" s="237" t="s">
        <v>202</v>
      </c>
      <c r="D62" s="237" t="s">
        <v>413</v>
      </c>
    </row>
    <row r="63" spans="1:4" ht="26.4" customHeight="1" x14ac:dyDescent="0.25">
      <c r="A63" s="237">
        <v>340197</v>
      </c>
      <c r="B63" s="237" t="s">
        <v>473</v>
      </c>
      <c r="C63" s="237" t="s">
        <v>474</v>
      </c>
      <c r="D63" s="237" t="s">
        <v>399</v>
      </c>
    </row>
    <row r="64" spans="1:4" ht="26.4" customHeight="1" x14ac:dyDescent="0.25">
      <c r="A64" s="237">
        <v>340198</v>
      </c>
      <c r="B64" s="237" t="s">
        <v>475</v>
      </c>
      <c r="C64" s="237" t="s">
        <v>332</v>
      </c>
      <c r="D64" s="237" t="s">
        <v>339</v>
      </c>
    </row>
    <row r="65" spans="1:4" ht="26.4" customHeight="1" x14ac:dyDescent="0.25">
      <c r="A65" s="237">
        <v>340199</v>
      </c>
      <c r="B65" s="237" t="s">
        <v>476</v>
      </c>
      <c r="C65" s="237" t="s">
        <v>477</v>
      </c>
      <c r="D65" s="237" t="s">
        <v>478</v>
      </c>
    </row>
    <row r="66" spans="1:4" ht="26.4" customHeight="1" x14ac:dyDescent="0.25">
      <c r="A66" s="237">
        <v>340200</v>
      </c>
      <c r="B66" s="237" t="s">
        <v>479</v>
      </c>
      <c r="C66" s="237" t="s">
        <v>480</v>
      </c>
      <c r="D66" s="237" t="s">
        <v>481</v>
      </c>
    </row>
    <row r="67" spans="1:4" ht="26.4" customHeight="1" x14ac:dyDescent="0.25">
      <c r="A67" s="237">
        <v>340201</v>
      </c>
      <c r="B67" s="237" t="s">
        <v>482</v>
      </c>
      <c r="C67" s="237" t="s">
        <v>483</v>
      </c>
      <c r="D67" s="237" t="s">
        <v>484</v>
      </c>
    </row>
    <row r="68" spans="1:4" ht="26.4" customHeight="1" x14ac:dyDescent="0.25">
      <c r="A68" s="237">
        <v>340202</v>
      </c>
      <c r="B68" s="237" t="s">
        <v>485</v>
      </c>
      <c r="C68" s="237" t="s">
        <v>199</v>
      </c>
      <c r="D68" s="237" t="s">
        <v>486</v>
      </c>
    </row>
    <row r="69" spans="1:4" ht="26.4" customHeight="1" x14ac:dyDescent="0.25">
      <c r="A69" s="237">
        <v>340203</v>
      </c>
      <c r="B69" s="237" t="s">
        <v>487</v>
      </c>
      <c r="C69" s="237" t="s">
        <v>332</v>
      </c>
      <c r="D69" s="237" t="s">
        <v>205</v>
      </c>
    </row>
    <row r="70" spans="1:4" ht="26.4" customHeight="1" x14ac:dyDescent="0.25">
      <c r="A70" s="237">
        <v>340204</v>
      </c>
      <c r="B70" s="237" t="s">
        <v>488</v>
      </c>
      <c r="C70" s="237" t="s">
        <v>332</v>
      </c>
      <c r="D70" s="237" t="s">
        <v>489</v>
      </c>
    </row>
    <row r="71" spans="1:4" ht="26.4" customHeight="1" x14ac:dyDescent="0.25">
      <c r="A71" s="237">
        <v>340205</v>
      </c>
      <c r="B71" s="237" t="s">
        <v>490</v>
      </c>
      <c r="C71" s="237" t="s">
        <v>331</v>
      </c>
      <c r="D71" s="237" t="s">
        <v>491</v>
      </c>
    </row>
    <row r="72" spans="1:4" ht="26.4" customHeight="1" x14ac:dyDescent="0.25">
      <c r="A72" s="237">
        <v>340206</v>
      </c>
      <c r="B72" s="237" t="s">
        <v>492</v>
      </c>
      <c r="C72" s="237" t="s">
        <v>493</v>
      </c>
      <c r="D72" s="237" t="s">
        <v>494</v>
      </c>
    </row>
    <row r="73" spans="1:4" ht="26.4" customHeight="1" x14ac:dyDescent="0.25">
      <c r="A73" s="237">
        <v>340207</v>
      </c>
      <c r="B73" s="237" t="s">
        <v>495</v>
      </c>
      <c r="C73" s="237" t="s">
        <v>496</v>
      </c>
      <c r="D73" s="237" t="s">
        <v>410</v>
      </c>
    </row>
    <row r="74" spans="1:4" ht="26.4" customHeight="1" x14ac:dyDescent="0.25">
      <c r="A74" s="237">
        <v>340208</v>
      </c>
      <c r="B74" s="237" t="s">
        <v>497</v>
      </c>
      <c r="C74" s="237" t="s">
        <v>200</v>
      </c>
      <c r="D74" s="237" t="s">
        <v>498</v>
      </c>
    </row>
    <row r="75" spans="1:4" ht="26.4" customHeight="1" x14ac:dyDescent="0.25">
      <c r="A75" s="237">
        <v>340135</v>
      </c>
      <c r="B75" s="237" t="s">
        <v>499</v>
      </c>
      <c r="C75" s="237" t="s">
        <v>199</v>
      </c>
      <c r="D75" s="237" t="s">
        <v>500</v>
      </c>
    </row>
    <row r="76" spans="1:4" ht="26.4" customHeight="1" x14ac:dyDescent="0.25">
      <c r="A76" s="237">
        <v>340209</v>
      </c>
      <c r="B76" s="237" t="s">
        <v>501</v>
      </c>
      <c r="C76" s="237" t="s">
        <v>338</v>
      </c>
      <c r="D76" s="237" t="s">
        <v>502</v>
      </c>
    </row>
    <row r="77" spans="1:4" ht="26.4" customHeight="1" x14ac:dyDescent="0.25">
      <c r="A77" s="237">
        <v>340210</v>
      </c>
      <c r="B77" s="237" t="s">
        <v>503</v>
      </c>
      <c r="C77" s="237" t="s">
        <v>198</v>
      </c>
      <c r="D77" s="237" t="s">
        <v>328</v>
      </c>
    </row>
    <row r="78" spans="1:4" ht="26.4" customHeight="1" x14ac:dyDescent="0.25">
      <c r="A78" s="237"/>
      <c r="B78" s="237"/>
      <c r="C78" s="237"/>
      <c r="D78" s="237"/>
    </row>
    <row r="79" spans="1:4" ht="26.4" customHeight="1" x14ac:dyDescent="0.25">
      <c r="A79" s="237"/>
      <c r="B79" s="237"/>
      <c r="C79" s="237"/>
      <c r="D79" s="237"/>
    </row>
    <row r="80" spans="1:4" ht="26.4" customHeight="1" x14ac:dyDescent="0.25">
      <c r="A80" s="237"/>
      <c r="B80" s="237"/>
      <c r="C80" s="237"/>
      <c r="D80" s="237"/>
    </row>
    <row r="81" spans="1:4" ht="26.4" customHeight="1" x14ac:dyDescent="0.25">
      <c r="A81" s="237"/>
      <c r="B81" s="237"/>
      <c r="C81" s="237"/>
      <c r="D81" s="237"/>
    </row>
    <row r="82" spans="1:4" ht="26.4" customHeight="1" x14ac:dyDescent="0.25">
      <c r="A82" s="237"/>
      <c r="B82" s="237"/>
      <c r="C82" s="237"/>
      <c r="D82" s="237"/>
    </row>
    <row r="83" spans="1:4" ht="26.4" customHeight="1" x14ac:dyDescent="0.25">
      <c r="A83" s="237"/>
      <c r="B83" s="237"/>
      <c r="C83" s="237"/>
      <c r="D83" s="237"/>
    </row>
    <row r="84" spans="1:4" ht="26.4" customHeight="1" x14ac:dyDescent="0.25">
      <c r="A84" s="237"/>
      <c r="B84" s="237"/>
      <c r="C84" s="237"/>
      <c r="D84" s="237"/>
    </row>
    <row r="85" spans="1:4" ht="26.4" customHeight="1" x14ac:dyDescent="0.25">
      <c r="A85" s="237"/>
      <c r="B85" s="237"/>
      <c r="C85" s="237"/>
      <c r="D85" s="237"/>
    </row>
    <row r="86" spans="1:4" ht="26.4" customHeight="1" x14ac:dyDescent="0.25">
      <c r="A86" s="237"/>
      <c r="B86" s="237"/>
      <c r="C86" s="237"/>
      <c r="D86" s="237"/>
    </row>
    <row r="87" spans="1:4" ht="26.4" customHeight="1" x14ac:dyDescent="0.25">
      <c r="A87" s="237"/>
      <c r="B87" s="237"/>
      <c r="C87" s="237"/>
      <c r="D87" s="237"/>
    </row>
    <row r="88" spans="1:4" ht="26.4" customHeight="1" x14ac:dyDescent="0.25">
      <c r="A88" s="237"/>
      <c r="B88" s="237"/>
      <c r="C88" s="237"/>
      <c r="D88" s="237"/>
    </row>
    <row r="89" spans="1:4" ht="26.4" customHeight="1" x14ac:dyDescent="0.25">
      <c r="A89" s="237"/>
      <c r="B89" s="237"/>
      <c r="C89" s="237"/>
      <c r="D89" s="237"/>
    </row>
    <row r="90" spans="1:4" ht="26.4" customHeight="1" x14ac:dyDescent="0.25">
      <c r="A90" s="237"/>
      <c r="B90" s="237"/>
      <c r="C90" s="237"/>
      <c r="D90" s="237"/>
    </row>
    <row r="91" spans="1:4" ht="26.4" customHeight="1" x14ac:dyDescent="0.25">
      <c r="A91" s="237"/>
      <c r="B91" s="237"/>
      <c r="C91" s="237"/>
      <c r="D91" s="237"/>
    </row>
    <row r="92" spans="1:4" ht="26.4" customHeight="1" x14ac:dyDescent="0.25">
      <c r="A92" s="237"/>
      <c r="B92" s="237"/>
      <c r="C92" s="237"/>
      <c r="D92" s="237"/>
    </row>
    <row r="93" spans="1:4" ht="26.4" customHeight="1" x14ac:dyDescent="0.25">
      <c r="A93" s="237"/>
      <c r="B93" s="237"/>
      <c r="C93" s="237"/>
      <c r="D93" s="237"/>
    </row>
    <row r="94" spans="1:4" ht="26.4" customHeight="1" x14ac:dyDescent="0.25">
      <c r="A94" s="237"/>
      <c r="B94" s="237"/>
      <c r="C94" s="237"/>
      <c r="D94" s="237"/>
    </row>
    <row r="95" spans="1:4" ht="26.4" customHeight="1" x14ac:dyDescent="0.25">
      <c r="A95" s="237"/>
      <c r="B95" s="237"/>
      <c r="C95" s="237"/>
      <c r="D95" s="237"/>
    </row>
    <row r="96" spans="1:4" ht="26.4" customHeight="1" x14ac:dyDescent="0.25">
      <c r="A96" s="237"/>
      <c r="B96" s="237"/>
      <c r="C96" s="237"/>
      <c r="D96" s="237"/>
    </row>
    <row r="97" spans="1:4" ht="26.4" customHeight="1" x14ac:dyDescent="0.25">
      <c r="A97" s="237"/>
      <c r="B97" s="237"/>
      <c r="C97" s="237"/>
      <c r="D97" s="237"/>
    </row>
    <row r="98" spans="1:4" ht="26.4" customHeight="1" x14ac:dyDescent="0.25">
      <c r="A98" s="237"/>
      <c r="B98" s="237"/>
      <c r="C98" s="237"/>
      <c r="D98" s="237"/>
    </row>
    <row r="99" spans="1:4" ht="26.4" customHeight="1" x14ac:dyDescent="0.25">
      <c r="A99" s="237"/>
      <c r="B99" s="237"/>
      <c r="C99" s="237"/>
      <c r="D99" s="237"/>
    </row>
    <row r="100" spans="1:4" ht="26.4" customHeight="1" x14ac:dyDescent="0.25">
      <c r="A100" s="237"/>
      <c r="B100" s="237"/>
      <c r="C100" s="237"/>
      <c r="D100" s="237"/>
    </row>
    <row r="101" spans="1:4" ht="26.4" customHeight="1" x14ac:dyDescent="0.25">
      <c r="A101" s="237"/>
      <c r="B101" s="237"/>
      <c r="C101" s="237"/>
      <c r="D101" s="237"/>
    </row>
    <row r="102" spans="1:4" ht="26.4" customHeight="1" x14ac:dyDescent="0.25">
      <c r="A102" s="237"/>
      <c r="B102" s="237"/>
      <c r="C102" s="237"/>
      <c r="D102" s="237"/>
    </row>
    <row r="103" spans="1:4" ht="26.4" customHeight="1" x14ac:dyDescent="0.25">
      <c r="A103" s="237"/>
      <c r="B103" s="237"/>
      <c r="C103" s="237"/>
      <c r="D103" s="237"/>
    </row>
    <row r="104" spans="1:4" ht="26.4" customHeight="1" x14ac:dyDescent="0.25">
      <c r="A104" s="237"/>
      <c r="B104" s="237"/>
      <c r="C104" s="237"/>
      <c r="D104" s="237"/>
    </row>
    <row r="105" spans="1:4" ht="26.4" customHeight="1" x14ac:dyDescent="0.25">
      <c r="A105" s="237"/>
      <c r="B105" s="237"/>
      <c r="C105" s="237"/>
      <c r="D105" s="237"/>
    </row>
    <row r="106" spans="1:4" ht="26.4" customHeight="1" x14ac:dyDescent="0.25">
      <c r="A106" s="237"/>
      <c r="B106" s="237"/>
      <c r="C106" s="237"/>
      <c r="D106" s="237"/>
    </row>
    <row r="107" spans="1:4" ht="26.4" customHeight="1" x14ac:dyDescent="0.25">
      <c r="A107" s="237"/>
      <c r="B107" s="237"/>
      <c r="C107" s="237"/>
      <c r="D107" s="237"/>
    </row>
    <row r="108" spans="1:4" ht="26.4" customHeight="1" x14ac:dyDescent="0.25">
      <c r="A108" s="237"/>
      <c r="B108" s="237"/>
      <c r="C108" s="237"/>
      <c r="D108" s="237"/>
    </row>
    <row r="109" spans="1:4" ht="26.4" customHeight="1" x14ac:dyDescent="0.25">
      <c r="A109" s="237"/>
      <c r="B109" s="237"/>
      <c r="C109" s="237"/>
      <c r="D109" s="237"/>
    </row>
    <row r="110" spans="1:4" ht="26.4" customHeight="1" x14ac:dyDescent="0.25">
      <c r="A110" s="237"/>
      <c r="B110" s="237"/>
      <c r="C110" s="237"/>
      <c r="D110" s="237"/>
    </row>
    <row r="111" spans="1:4" ht="26.4" customHeight="1" x14ac:dyDescent="0.25">
      <c r="A111" s="237"/>
      <c r="B111" s="237"/>
      <c r="C111" s="237"/>
      <c r="D111" s="237"/>
    </row>
    <row r="112" spans="1:4" ht="26.4" customHeight="1" x14ac:dyDescent="0.25">
      <c r="A112" s="237"/>
      <c r="B112" s="237"/>
      <c r="C112" s="237"/>
      <c r="D112" s="237"/>
    </row>
    <row r="113" spans="1:4" ht="26.4" customHeight="1" x14ac:dyDescent="0.25">
      <c r="A113" s="237"/>
      <c r="B113" s="237"/>
      <c r="C113" s="237"/>
      <c r="D113" s="237"/>
    </row>
    <row r="114" spans="1:4" ht="26.4" customHeight="1" x14ac:dyDescent="0.25">
      <c r="A114" s="237"/>
      <c r="B114" s="237"/>
      <c r="C114" s="237"/>
      <c r="D114" s="237"/>
    </row>
    <row r="115" spans="1:4" ht="26.4" customHeight="1" x14ac:dyDescent="0.25">
      <c r="A115" s="237"/>
      <c r="B115" s="237"/>
      <c r="C115" s="237"/>
      <c r="D115" s="237"/>
    </row>
    <row r="116" spans="1:4" ht="26.4" customHeight="1" x14ac:dyDescent="0.25">
      <c r="A116" s="237"/>
      <c r="B116" s="237"/>
      <c r="C116" s="237"/>
      <c r="D116" s="237"/>
    </row>
    <row r="117" spans="1:4" ht="26.4" customHeight="1" x14ac:dyDescent="0.25">
      <c r="A117" s="237"/>
      <c r="B117" s="237"/>
      <c r="C117" s="237"/>
      <c r="D117" s="237"/>
    </row>
    <row r="118" spans="1:4" ht="26.4" customHeight="1" x14ac:dyDescent="0.25">
      <c r="A118" s="237"/>
      <c r="B118" s="237"/>
      <c r="C118" s="237"/>
      <c r="D118" s="237"/>
    </row>
    <row r="119" spans="1:4" ht="26.4" customHeight="1" x14ac:dyDescent="0.25">
      <c r="A119" s="237"/>
      <c r="B119" s="237"/>
      <c r="C119" s="237"/>
      <c r="D119" s="237"/>
    </row>
    <row r="120" spans="1:4" ht="26.4" customHeight="1" x14ac:dyDescent="0.25">
      <c r="A120" s="237"/>
      <c r="B120" s="237"/>
      <c r="C120" s="237"/>
      <c r="D120" s="237"/>
    </row>
    <row r="121" spans="1:4" ht="26.4" customHeight="1" x14ac:dyDescent="0.25">
      <c r="A121" s="237"/>
      <c r="B121" s="237"/>
      <c r="C121" s="237"/>
      <c r="D121" s="237"/>
    </row>
    <row r="122" spans="1:4" ht="26.4" customHeight="1" x14ac:dyDescent="0.25">
      <c r="A122" s="237"/>
      <c r="B122" s="237"/>
      <c r="C122" s="237"/>
      <c r="D122" s="237"/>
    </row>
    <row r="123" spans="1:4" ht="26.4" customHeight="1" x14ac:dyDescent="0.25">
      <c r="A123" s="237"/>
      <c r="B123" s="237"/>
      <c r="C123" s="237"/>
      <c r="D123" s="237"/>
    </row>
    <row r="124" spans="1:4" ht="26.4" customHeight="1" x14ac:dyDescent="0.25">
      <c r="A124" s="237"/>
      <c r="B124" s="237"/>
      <c r="C124" s="237"/>
      <c r="D124" s="237"/>
    </row>
    <row r="125" spans="1:4" ht="26.4" customHeight="1" x14ac:dyDescent="0.25">
      <c r="A125" s="237"/>
      <c r="B125" s="237"/>
      <c r="C125" s="237"/>
      <c r="D125" s="237"/>
    </row>
    <row r="126" spans="1:4" ht="26.4" customHeight="1" x14ac:dyDescent="0.25">
      <c r="A126" s="237"/>
      <c r="B126" s="237"/>
      <c r="C126" s="237"/>
      <c r="D126" s="237"/>
    </row>
    <row r="127" spans="1:4" ht="26.4" customHeight="1" x14ac:dyDescent="0.25">
      <c r="A127" s="237"/>
      <c r="B127" s="237"/>
      <c r="C127" s="237"/>
      <c r="D127" s="237"/>
    </row>
    <row r="128" spans="1:4" ht="26.4" customHeight="1" x14ac:dyDescent="0.25">
      <c r="A128" s="237"/>
      <c r="B128" s="237"/>
      <c r="C128" s="237"/>
      <c r="D128" s="237"/>
    </row>
    <row r="129" spans="1:4" ht="26.4" customHeight="1" x14ac:dyDescent="0.25">
      <c r="A129" s="237"/>
      <c r="B129" s="237"/>
      <c r="C129" s="237"/>
      <c r="D129" s="237"/>
    </row>
    <row r="130" spans="1:4" ht="26.4" customHeight="1" x14ac:dyDescent="0.25">
      <c r="A130" s="237"/>
      <c r="B130" s="237"/>
      <c r="C130" s="237"/>
      <c r="D130" s="237"/>
    </row>
    <row r="131" spans="1:4" ht="26.4" customHeight="1" x14ac:dyDescent="0.25">
      <c r="A131" s="237"/>
      <c r="B131" s="237"/>
      <c r="C131" s="237"/>
      <c r="D131" s="237"/>
    </row>
    <row r="132" spans="1:4" ht="26.4" customHeight="1" x14ac:dyDescent="0.25">
      <c r="A132" s="237"/>
      <c r="B132" s="237"/>
      <c r="C132" s="237"/>
      <c r="D132" s="237"/>
    </row>
    <row r="133" spans="1:4" ht="26.4" customHeight="1" x14ac:dyDescent="0.25">
      <c r="A133" s="237"/>
      <c r="B133" s="237"/>
      <c r="C133" s="237"/>
      <c r="D133" s="237"/>
    </row>
    <row r="134" spans="1:4" ht="26.4" customHeight="1" x14ac:dyDescent="0.25">
      <c r="A134" s="237"/>
      <c r="B134" s="237"/>
      <c r="C134" s="237"/>
      <c r="D134" s="237"/>
    </row>
    <row r="135" spans="1:4" ht="26.4" customHeight="1" x14ac:dyDescent="0.25">
      <c r="A135" s="237"/>
      <c r="B135" s="237"/>
      <c r="C135" s="237"/>
      <c r="D135" s="237"/>
    </row>
    <row r="136" spans="1:4" ht="26.4" customHeight="1" x14ac:dyDescent="0.25">
      <c r="A136" s="237"/>
      <c r="B136" s="237"/>
      <c r="C136" s="237"/>
      <c r="D136" s="237"/>
    </row>
    <row r="137" spans="1:4" ht="26.4" customHeight="1" x14ac:dyDescent="0.25">
      <c r="A137" s="237"/>
      <c r="B137" s="237"/>
      <c r="C137" s="237"/>
      <c r="D137" s="237"/>
    </row>
    <row r="138" spans="1:4" ht="26.4" customHeight="1" x14ac:dyDescent="0.25">
      <c r="A138" s="237"/>
      <c r="B138" s="237"/>
      <c r="C138" s="237"/>
      <c r="D138" s="237"/>
    </row>
    <row r="139" spans="1:4" ht="26.4" customHeight="1" x14ac:dyDescent="0.25">
      <c r="A139" s="237"/>
      <c r="B139" s="237"/>
      <c r="C139" s="237"/>
      <c r="D139" s="237"/>
    </row>
    <row r="140" spans="1:4" ht="26.4" customHeight="1" x14ac:dyDescent="0.25">
      <c r="A140" s="237"/>
      <c r="B140" s="237"/>
      <c r="C140" s="237"/>
      <c r="D140" s="237"/>
    </row>
    <row r="141" spans="1:4" ht="26.4" customHeight="1" x14ac:dyDescent="0.25">
      <c r="A141" s="237"/>
      <c r="B141" s="237"/>
      <c r="C141" s="237"/>
      <c r="D141" s="237"/>
    </row>
    <row r="142" spans="1:4" ht="26.4" customHeight="1" x14ac:dyDescent="0.25">
      <c r="A142" s="237"/>
      <c r="B142" s="237"/>
      <c r="C142" s="237"/>
      <c r="D142" s="237"/>
    </row>
    <row r="143" spans="1:4" ht="26.4" customHeight="1" x14ac:dyDescent="0.25">
      <c r="A143" s="237"/>
      <c r="B143" s="237"/>
      <c r="C143" s="237"/>
      <c r="D143" s="237"/>
    </row>
    <row r="144" spans="1:4" ht="26.4" customHeight="1" x14ac:dyDescent="0.25">
      <c r="A144" s="237"/>
      <c r="B144" s="237"/>
      <c r="C144" s="237"/>
      <c r="D144" s="237"/>
    </row>
    <row r="145" spans="1:4" ht="26.4" customHeight="1" x14ac:dyDescent="0.25">
      <c r="A145" s="237"/>
      <c r="B145" s="237"/>
      <c r="C145" s="237"/>
      <c r="D145" s="237"/>
    </row>
    <row r="146" spans="1:4" ht="26.4" customHeight="1" x14ac:dyDescent="0.25">
      <c r="A146" s="237"/>
      <c r="B146" s="237"/>
      <c r="C146" s="237"/>
      <c r="D146" s="237"/>
    </row>
    <row r="147" spans="1:4" ht="26.4" customHeight="1" x14ac:dyDescent="0.25">
      <c r="A147" s="237"/>
      <c r="B147" s="237"/>
      <c r="C147" s="237"/>
      <c r="D147" s="237"/>
    </row>
    <row r="148" spans="1:4" ht="26.4" customHeight="1" x14ac:dyDescent="0.25">
      <c r="A148" s="237"/>
      <c r="B148" s="237"/>
      <c r="C148" s="237"/>
      <c r="D148" s="237"/>
    </row>
    <row r="149" spans="1:4" ht="26.4" customHeight="1" x14ac:dyDescent="0.25">
      <c r="A149" s="237"/>
      <c r="B149" s="237"/>
      <c r="C149" s="237"/>
      <c r="D149" s="237"/>
    </row>
    <row r="150" spans="1:4" ht="26.4" customHeight="1" x14ac:dyDescent="0.25">
      <c r="A150" s="237"/>
      <c r="B150" s="237"/>
      <c r="C150" s="237"/>
      <c r="D150" s="237"/>
    </row>
    <row r="151" spans="1:4" ht="26.4" customHeight="1" x14ac:dyDescent="0.25">
      <c r="A151" s="237"/>
      <c r="B151" s="237"/>
      <c r="C151" s="237"/>
      <c r="D151" s="237"/>
    </row>
    <row r="152" spans="1:4" ht="26.4" customHeight="1" x14ac:dyDescent="0.25">
      <c r="A152" s="237"/>
      <c r="B152" s="237"/>
      <c r="C152" s="237"/>
      <c r="D152" s="237"/>
    </row>
    <row r="153" spans="1:4" ht="26.4" customHeight="1" x14ac:dyDescent="0.25">
      <c r="A153" s="237"/>
      <c r="B153" s="237"/>
      <c r="C153" s="237"/>
      <c r="D153" s="237"/>
    </row>
    <row r="154" spans="1:4" ht="26.4" customHeight="1" x14ac:dyDescent="0.25">
      <c r="A154" s="237"/>
      <c r="B154" s="237"/>
      <c r="C154" s="237"/>
      <c r="D154" s="237"/>
    </row>
    <row r="155" spans="1:4" ht="26.4" customHeight="1" x14ac:dyDescent="0.25">
      <c r="A155" s="237"/>
      <c r="B155" s="237"/>
      <c r="C155" s="237"/>
      <c r="D155" s="237"/>
    </row>
    <row r="156" spans="1:4" ht="26.4" customHeight="1" x14ac:dyDescent="0.25">
      <c r="A156" s="237"/>
      <c r="B156" s="237"/>
      <c r="C156" s="237"/>
      <c r="D156" s="237"/>
    </row>
    <row r="157" spans="1:4" ht="26.4" customHeight="1" x14ac:dyDescent="0.25">
      <c r="A157" s="237"/>
      <c r="B157" s="237"/>
      <c r="C157" s="237"/>
      <c r="D157" s="237"/>
    </row>
    <row r="158" spans="1:4" ht="26.4" customHeight="1" x14ac:dyDescent="0.25">
      <c r="A158" s="237"/>
      <c r="B158" s="237"/>
      <c r="C158" s="237"/>
      <c r="D158" s="237"/>
    </row>
    <row r="159" spans="1:4" ht="26.4" customHeight="1" x14ac:dyDescent="0.25">
      <c r="A159" s="237"/>
      <c r="B159" s="237"/>
      <c r="C159" s="237"/>
      <c r="D159" s="237"/>
    </row>
    <row r="160" spans="1:4" ht="26.4" customHeight="1" x14ac:dyDescent="0.25">
      <c r="A160" s="237"/>
      <c r="B160" s="237"/>
      <c r="C160" s="237"/>
      <c r="D160" s="237"/>
    </row>
    <row r="161" spans="1:4" ht="26.4" customHeight="1" x14ac:dyDescent="0.25">
      <c r="A161" s="237"/>
      <c r="B161" s="237"/>
      <c r="C161" s="237"/>
      <c r="D161" s="237"/>
    </row>
    <row r="162" spans="1:4" ht="26.4" customHeight="1" x14ac:dyDescent="0.25">
      <c r="A162" s="237"/>
      <c r="B162" s="237"/>
      <c r="C162" s="237"/>
      <c r="D162" s="237"/>
    </row>
    <row r="163" spans="1:4" ht="26.4" customHeight="1" x14ac:dyDescent="0.25">
      <c r="A163" s="237"/>
      <c r="B163" s="237"/>
      <c r="C163" s="237"/>
      <c r="D163" s="237"/>
    </row>
    <row r="164" spans="1:4" ht="26.4" customHeight="1" x14ac:dyDescent="0.25">
      <c r="A164" s="237"/>
      <c r="B164" s="237"/>
      <c r="C164" s="237"/>
      <c r="D164" s="237"/>
    </row>
    <row r="165" spans="1:4" ht="26.4" customHeight="1" x14ac:dyDescent="0.25">
      <c r="A165" s="237"/>
      <c r="B165" s="237"/>
      <c r="C165" s="237"/>
      <c r="D165" s="237"/>
    </row>
    <row r="166" spans="1:4" ht="26.4" customHeight="1" x14ac:dyDescent="0.25">
      <c r="A166" s="237"/>
      <c r="B166" s="237"/>
      <c r="C166" s="237"/>
      <c r="D166" s="237"/>
    </row>
    <row r="167" spans="1:4" ht="26.4" customHeight="1" x14ac:dyDescent="0.25">
      <c r="A167" s="237"/>
      <c r="B167" s="237"/>
      <c r="C167" s="237"/>
      <c r="D167" s="237"/>
    </row>
    <row r="168" spans="1:4" ht="26.4" customHeight="1" x14ac:dyDescent="0.25">
      <c r="A168" s="237"/>
      <c r="B168" s="237"/>
      <c r="C168" s="237"/>
      <c r="D168" s="237"/>
    </row>
    <row r="169" spans="1:4" ht="26.4" customHeight="1" x14ac:dyDescent="0.25">
      <c r="A169" s="237"/>
      <c r="B169" s="237"/>
      <c r="C169" s="237"/>
      <c r="D169" s="237"/>
    </row>
    <row r="170" spans="1:4" ht="26.4" customHeight="1" x14ac:dyDescent="0.25">
      <c r="A170" s="237"/>
      <c r="B170" s="237"/>
      <c r="C170" s="237"/>
      <c r="D170" s="237"/>
    </row>
    <row r="171" spans="1:4" ht="26.4" customHeight="1" x14ac:dyDescent="0.25">
      <c r="A171" s="237"/>
      <c r="B171" s="237"/>
      <c r="C171" s="237"/>
      <c r="D171" s="237"/>
    </row>
    <row r="172" spans="1:4" ht="26.4" customHeight="1" x14ac:dyDescent="0.25">
      <c r="A172" s="237"/>
      <c r="B172" s="237"/>
      <c r="C172" s="237"/>
      <c r="D172" s="237"/>
    </row>
    <row r="173" spans="1:4" ht="26.4" customHeight="1" x14ac:dyDescent="0.25">
      <c r="A173" s="237"/>
      <c r="B173" s="237"/>
      <c r="C173" s="237"/>
      <c r="D173" s="237"/>
    </row>
    <row r="174" spans="1:4" ht="26.4" customHeight="1" x14ac:dyDescent="0.25">
      <c r="A174" s="237"/>
      <c r="B174" s="237"/>
      <c r="C174" s="237"/>
      <c r="D174" s="237"/>
    </row>
    <row r="175" spans="1:4" ht="26.4" customHeight="1" x14ac:dyDescent="0.25">
      <c r="A175" s="237"/>
      <c r="B175" s="237"/>
      <c r="C175" s="237"/>
      <c r="D175" s="237"/>
    </row>
    <row r="176" spans="1:4" ht="26.4" customHeight="1" x14ac:dyDescent="0.25">
      <c r="A176" s="237"/>
      <c r="B176" s="237"/>
      <c r="C176" s="237"/>
      <c r="D176" s="237"/>
    </row>
    <row r="177" spans="1:4" ht="26.4" customHeight="1" x14ac:dyDescent="0.25">
      <c r="A177" s="237"/>
      <c r="B177" s="237"/>
      <c r="C177" s="237"/>
      <c r="D177" s="237"/>
    </row>
    <row r="178" spans="1:4" ht="26.4" customHeight="1" x14ac:dyDescent="0.25">
      <c r="A178" s="237"/>
      <c r="B178" s="237"/>
      <c r="C178" s="237"/>
      <c r="D178" s="237"/>
    </row>
    <row r="179" spans="1:4" ht="26.4" customHeight="1" x14ac:dyDescent="0.25">
      <c r="A179" s="237"/>
      <c r="B179" s="237"/>
      <c r="C179" s="237"/>
      <c r="D179" s="237"/>
    </row>
    <row r="180" spans="1:4" ht="26.4" customHeight="1" x14ac:dyDescent="0.25">
      <c r="A180" s="237"/>
      <c r="B180" s="237"/>
      <c r="C180" s="237"/>
      <c r="D180" s="237"/>
    </row>
    <row r="181" spans="1:4" ht="26.4" customHeight="1" x14ac:dyDescent="0.25">
      <c r="A181" s="237"/>
      <c r="B181" s="237"/>
      <c r="C181" s="237"/>
      <c r="D181" s="237"/>
    </row>
    <row r="182" spans="1:4" ht="26.4" customHeight="1" x14ac:dyDescent="0.25">
      <c r="A182" s="237"/>
      <c r="B182" s="237"/>
      <c r="C182" s="237"/>
      <c r="D182" s="237"/>
    </row>
    <row r="183" spans="1:4" ht="26.4" customHeight="1" x14ac:dyDescent="0.25">
      <c r="A183" s="237"/>
      <c r="B183" s="237"/>
      <c r="C183" s="237"/>
      <c r="D183" s="237"/>
    </row>
    <row r="184" spans="1:4" ht="26.4" customHeight="1" x14ac:dyDescent="0.25">
      <c r="A184" s="237"/>
      <c r="B184" s="237"/>
      <c r="C184" s="237"/>
      <c r="D184" s="237"/>
    </row>
    <row r="185" spans="1:4" ht="26.4" customHeight="1" x14ac:dyDescent="0.25">
      <c r="A185" s="237"/>
      <c r="B185" s="237"/>
      <c r="C185" s="237"/>
      <c r="D185" s="237"/>
    </row>
    <row r="186" spans="1:4" ht="26.4" customHeight="1" x14ac:dyDescent="0.25">
      <c r="A186" s="237"/>
      <c r="B186" s="237"/>
      <c r="C186" s="237"/>
      <c r="D186" s="237"/>
    </row>
    <row r="187" spans="1:4" ht="26.4" customHeight="1" x14ac:dyDescent="0.25">
      <c r="A187" s="237"/>
      <c r="B187" s="237"/>
      <c r="C187" s="237"/>
      <c r="D187" s="237"/>
    </row>
    <row r="188" spans="1:4" ht="26.4" customHeight="1" x14ac:dyDescent="0.25">
      <c r="A188" s="237"/>
      <c r="B188" s="237"/>
      <c r="C188" s="237"/>
      <c r="D188" s="237"/>
    </row>
    <row r="189" spans="1:4" ht="26.4" customHeight="1" x14ac:dyDescent="0.25">
      <c r="A189" s="237"/>
      <c r="B189" s="237"/>
      <c r="C189" s="237"/>
      <c r="D189" s="237"/>
    </row>
    <row r="190" spans="1:4" ht="26.4" customHeight="1" x14ac:dyDescent="0.25">
      <c r="A190" s="237"/>
      <c r="B190" s="237"/>
      <c r="C190" s="237"/>
      <c r="D190" s="237"/>
    </row>
    <row r="191" spans="1:4" ht="26.4" customHeight="1" x14ac:dyDescent="0.25">
      <c r="A191" s="237"/>
      <c r="B191" s="237"/>
      <c r="C191" s="237"/>
      <c r="D191" s="237"/>
    </row>
    <row r="192" spans="1:4" ht="26.4" customHeight="1" x14ac:dyDescent="0.25">
      <c r="A192" s="237"/>
      <c r="B192" s="237"/>
      <c r="C192" s="237"/>
      <c r="D192" s="237"/>
    </row>
    <row r="193" spans="1:4" ht="26.4" customHeight="1" x14ac:dyDescent="0.25">
      <c r="A193" s="237"/>
      <c r="B193" s="237"/>
      <c r="C193" s="237"/>
      <c r="D193" s="237"/>
    </row>
    <row r="194" spans="1:4" ht="26.4" customHeight="1" x14ac:dyDescent="0.25">
      <c r="A194" s="237"/>
      <c r="B194" s="237"/>
      <c r="C194" s="237"/>
      <c r="D194" s="237"/>
    </row>
    <row r="195" spans="1:4" ht="26.4" customHeight="1" x14ac:dyDescent="0.25">
      <c r="A195" s="237"/>
      <c r="B195" s="237"/>
      <c r="C195" s="237"/>
      <c r="D195" s="237"/>
    </row>
    <row r="196" spans="1:4" ht="26.4" customHeight="1" x14ac:dyDescent="0.25">
      <c r="A196" s="237"/>
      <c r="B196" s="237"/>
      <c r="C196" s="237"/>
      <c r="D196" s="237"/>
    </row>
    <row r="197" spans="1:4" ht="26.4" customHeight="1" x14ac:dyDescent="0.25">
      <c r="A197" s="237"/>
      <c r="B197" s="237"/>
      <c r="C197" s="237"/>
      <c r="D197" s="237"/>
    </row>
    <row r="198" spans="1:4" ht="26.4" customHeight="1" x14ac:dyDescent="0.25">
      <c r="A198" s="237"/>
      <c r="B198" s="237"/>
      <c r="C198" s="237"/>
      <c r="D198" s="237"/>
    </row>
    <row r="199" spans="1:4" ht="26.4" customHeight="1" x14ac:dyDescent="0.25">
      <c r="A199" s="237"/>
      <c r="B199" s="237"/>
      <c r="C199" s="237"/>
      <c r="D199" s="237"/>
    </row>
    <row r="200" spans="1:4" ht="26.4" customHeight="1" x14ac:dyDescent="0.25">
      <c r="A200" s="237"/>
      <c r="B200" s="237"/>
      <c r="C200" s="237"/>
      <c r="D200" s="237"/>
    </row>
    <row r="201" spans="1:4" ht="26.4" customHeight="1" x14ac:dyDescent="0.25">
      <c r="A201" s="237"/>
      <c r="B201" s="237"/>
      <c r="C201" s="237"/>
      <c r="D201" s="237"/>
    </row>
    <row r="202" spans="1:4" ht="26.4" customHeight="1" x14ac:dyDescent="0.25">
      <c r="A202" s="237"/>
      <c r="B202" s="237"/>
      <c r="C202" s="237"/>
      <c r="D202" s="237"/>
    </row>
    <row r="203" spans="1:4" ht="26.4" customHeight="1" x14ac:dyDescent="0.25">
      <c r="A203" s="237"/>
      <c r="B203" s="237"/>
      <c r="C203" s="237"/>
      <c r="D203" s="237"/>
    </row>
    <row r="204" spans="1:4" ht="26.4" customHeight="1" x14ac:dyDescent="0.25">
      <c r="A204" s="237"/>
      <c r="B204" s="237"/>
      <c r="C204" s="237"/>
      <c r="D204" s="237"/>
    </row>
    <row r="205" spans="1:4" ht="26.4" customHeight="1" x14ac:dyDescent="0.25">
      <c r="A205" s="237"/>
      <c r="B205" s="237"/>
      <c r="C205" s="237"/>
      <c r="D205" s="237"/>
    </row>
    <row r="206" spans="1:4" ht="26.4" customHeight="1" x14ac:dyDescent="0.25">
      <c r="A206" s="237"/>
      <c r="B206" s="237"/>
      <c r="C206" s="237"/>
      <c r="D206" s="237"/>
    </row>
    <row r="207" spans="1:4" ht="26.4" customHeight="1" x14ac:dyDescent="0.25">
      <c r="A207" s="237"/>
      <c r="B207" s="237"/>
      <c r="C207" s="237"/>
      <c r="D207" s="237"/>
    </row>
    <row r="208" spans="1:4" ht="26.4" customHeight="1" x14ac:dyDescent="0.25">
      <c r="A208" s="237"/>
      <c r="B208" s="237"/>
      <c r="C208" s="237"/>
      <c r="D208" s="237"/>
    </row>
    <row r="209" spans="1:4" ht="26.4" customHeight="1" x14ac:dyDescent="0.25">
      <c r="A209" s="237"/>
      <c r="B209" s="237"/>
      <c r="C209" s="237"/>
      <c r="D209" s="237"/>
    </row>
    <row r="210" spans="1:4" ht="26.4" customHeight="1" x14ac:dyDescent="0.25">
      <c r="A210" s="237"/>
      <c r="B210" s="237"/>
      <c r="C210" s="237"/>
      <c r="D210" s="237"/>
    </row>
    <row r="211" spans="1:4" ht="26.4" customHeight="1" x14ac:dyDescent="0.25">
      <c r="A211" s="237"/>
      <c r="B211" s="237"/>
      <c r="C211" s="237"/>
      <c r="D211" s="237"/>
    </row>
    <row r="212" spans="1:4" ht="26.4" customHeight="1" x14ac:dyDescent="0.25">
      <c r="A212" s="237"/>
      <c r="B212" s="237"/>
      <c r="C212" s="237"/>
      <c r="D212" s="237"/>
    </row>
    <row r="213" spans="1:4" ht="26.4" customHeight="1" x14ac:dyDescent="0.25">
      <c r="A213" s="237"/>
      <c r="B213" s="237"/>
      <c r="C213" s="237"/>
      <c r="D213" s="237"/>
    </row>
    <row r="214" spans="1:4" ht="26.4" customHeight="1" x14ac:dyDescent="0.25">
      <c r="A214" s="237"/>
      <c r="B214" s="237"/>
      <c r="C214" s="237"/>
      <c r="D214" s="237"/>
    </row>
    <row r="215" spans="1:4" ht="26.4" customHeight="1" x14ac:dyDescent="0.25">
      <c r="A215" s="237"/>
      <c r="B215" s="237"/>
      <c r="C215" s="237"/>
      <c r="D215" s="237"/>
    </row>
    <row r="216" spans="1:4" ht="26.4" customHeight="1" x14ac:dyDescent="0.25">
      <c r="A216" s="237"/>
      <c r="B216" s="237"/>
      <c r="C216" s="237"/>
      <c r="D216" s="237"/>
    </row>
    <row r="217" spans="1:4" ht="26.4" customHeight="1" x14ac:dyDescent="0.25">
      <c r="A217" s="237"/>
      <c r="B217" s="237"/>
      <c r="C217" s="237"/>
      <c r="D217" s="237"/>
    </row>
    <row r="218" spans="1:4" ht="26.4" customHeight="1" x14ac:dyDescent="0.25">
      <c r="A218" s="237"/>
      <c r="B218" s="237"/>
      <c r="C218" s="237"/>
      <c r="D218" s="237"/>
    </row>
    <row r="219" spans="1:4" ht="26.4" customHeight="1" x14ac:dyDescent="0.25">
      <c r="A219" s="237"/>
      <c r="B219" s="237"/>
      <c r="C219" s="237"/>
      <c r="D219" s="237"/>
    </row>
    <row r="220" spans="1:4" ht="26.4" customHeight="1" x14ac:dyDescent="0.25">
      <c r="A220" s="237"/>
      <c r="B220" s="237"/>
      <c r="C220" s="237"/>
      <c r="D220" s="237"/>
    </row>
    <row r="221" spans="1:4" ht="26.4" customHeight="1" x14ac:dyDescent="0.25">
      <c r="A221" s="237"/>
      <c r="B221" s="237"/>
      <c r="C221" s="237"/>
      <c r="D221" s="237"/>
    </row>
    <row r="222" spans="1:4" ht="26.4" customHeight="1" x14ac:dyDescent="0.25">
      <c r="A222" s="237"/>
      <c r="B222" s="237"/>
      <c r="C222" s="237"/>
      <c r="D222" s="237"/>
    </row>
    <row r="223" spans="1:4" ht="26.4" customHeight="1" x14ac:dyDescent="0.25">
      <c r="A223" s="237"/>
      <c r="B223" s="237"/>
      <c r="C223" s="237"/>
      <c r="D223" s="237"/>
    </row>
    <row r="224" spans="1:4" ht="26.4" customHeight="1" x14ac:dyDescent="0.25">
      <c r="A224" s="237"/>
      <c r="B224" s="237"/>
      <c r="C224" s="237"/>
      <c r="D224" s="237"/>
    </row>
    <row r="225" spans="1:4" ht="26.4" customHeight="1" x14ac:dyDescent="0.25">
      <c r="A225" s="237"/>
      <c r="B225" s="237"/>
      <c r="C225" s="237"/>
      <c r="D225" s="237"/>
    </row>
    <row r="226" spans="1:4" ht="26.4" customHeight="1" x14ac:dyDescent="0.25">
      <c r="A226" s="237"/>
      <c r="B226" s="237"/>
      <c r="C226" s="237"/>
      <c r="D226" s="237"/>
    </row>
    <row r="227" spans="1:4" ht="26.4" customHeight="1" x14ac:dyDescent="0.25">
      <c r="A227" s="237"/>
      <c r="B227" s="237"/>
      <c r="C227" s="237"/>
      <c r="D227" s="237"/>
    </row>
    <row r="228" spans="1:4" ht="26.4" customHeight="1" x14ac:dyDescent="0.25">
      <c r="A228" s="237"/>
      <c r="B228" s="237"/>
      <c r="C228" s="237"/>
      <c r="D228" s="237"/>
    </row>
    <row r="229" spans="1:4" ht="26.4" customHeight="1" x14ac:dyDescent="0.25">
      <c r="A229" s="237"/>
      <c r="B229" s="237"/>
      <c r="C229" s="237"/>
      <c r="D229" s="237"/>
    </row>
    <row r="230" spans="1:4" ht="26.4" customHeight="1" x14ac:dyDescent="0.25">
      <c r="A230" s="237"/>
      <c r="B230" s="237"/>
      <c r="C230" s="237"/>
      <c r="D230" s="237"/>
    </row>
    <row r="231" spans="1:4" ht="26.4" customHeight="1" x14ac:dyDescent="0.25">
      <c r="A231" s="237"/>
      <c r="B231" s="237"/>
      <c r="C231" s="237"/>
      <c r="D231" s="237"/>
    </row>
    <row r="232" spans="1:4" ht="26.4" customHeight="1" x14ac:dyDescent="0.25">
      <c r="A232" s="237"/>
      <c r="B232" s="237"/>
      <c r="C232" s="237"/>
      <c r="D232" s="237"/>
    </row>
    <row r="233" spans="1:4" ht="26.4" customHeight="1" x14ac:dyDescent="0.25">
      <c r="A233" s="237"/>
      <c r="B233" s="237"/>
      <c r="C233" s="237"/>
      <c r="D233" s="237"/>
    </row>
    <row r="234" spans="1:4" ht="26.4" customHeight="1" x14ac:dyDescent="0.25">
      <c r="A234" s="237"/>
      <c r="B234" s="237"/>
      <c r="C234" s="237"/>
      <c r="D234" s="237"/>
    </row>
    <row r="235" spans="1:4" ht="26.4" customHeight="1" x14ac:dyDescent="0.25">
      <c r="A235" s="237"/>
      <c r="B235" s="237"/>
      <c r="C235" s="237"/>
      <c r="D235" s="237"/>
    </row>
    <row r="236" spans="1:4" ht="26.4" customHeight="1" x14ac:dyDescent="0.25">
      <c r="A236" s="237"/>
      <c r="B236" s="237"/>
      <c r="C236" s="237"/>
      <c r="D236" s="237"/>
    </row>
    <row r="237" spans="1:4" ht="26.4" customHeight="1" x14ac:dyDescent="0.25">
      <c r="A237" s="237"/>
      <c r="B237" s="237"/>
      <c r="C237" s="237"/>
      <c r="D237" s="237"/>
    </row>
    <row r="238" spans="1:4" ht="26.4" customHeight="1" x14ac:dyDescent="0.25">
      <c r="A238" s="237"/>
      <c r="B238" s="237"/>
      <c r="C238" s="237"/>
      <c r="D238" s="237"/>
    </row>
    <row r="239" spans="1:4" ht="26.4" customHeight="1" x14ac:dyDescent="0.25">
      <c r="A239" s="237"/>
      <c r="B239" s="237"/>
      <c r="C239" s="237"/>
      <c r="D239" s="237"/>
    </row>
    <row r="240" spans="1:4" ht="26.4" customHeight="1" x14ac:dyDescent="0.25">
      <c r="A240" s="237"/>
      <c r="B240" s="237"/>
      <c r="C240" s="237"/>
      <c r="D240" s="237"/>
    </row>
    <row r="241" spans="1:4" ht="26.4" customHeight="1" x14ac:dyDescent="0.25">
      <c r="A241" s="237"/>
      <c r="B241" s="237"/>
      <c r="C241" s="237"/>
      <c r="D241" s="237"/>
    </row>
    <row r="242" spans="1:4" ht="26.4" customHeight="1" x14ac:dyDescent="0.25">
      <c r="A242" s="237"/>
      <c r="B242" s="237"/>
      <c r="C242" s="237"/>
      <c r="D242" s="237"/>
    </row>
    <row r="243" spans="1:4" ht="26.4" customHeight="1" x14ac:dyDescent="0.25">
      <c r="A243" s="237"/>
      <c r="B243" s="237"/>
      <c r="C243" s="237"/>
      <c r="D243" s="237"/>
    </row>
    <row r="244" spans="1:4" ht="26.4" customHeight="1" x14ac:dyDescent="0.25">
      <c r="A244" s="237"/>
      <c r="B244" s="237"/>
      <c r="C244" s="237"/>
      <c r="D244" s="237"/>
    </row>
    <row r="245" spans="1:4" ht="26.4" customHeight="1" x14ac:dyDescent="0.25">
      <c r="A245" s="237"/>
      <c r="B245" s="237"/>
      <c r="C245" s="237"/>
      <c r="D245" s="237"/>
    </row>
    <row r="246" spans="1:4" ht="26.4" customHeight="1" x14ac:dyDescent="0.25">
      <c r="A246" s="237"/>
      <c r="B246" s="237"/>
      <c r="C246" s="237"/>
      <c r="D246" s="237"/>
    </row>
    <row r="247" spans="1:4" ht="26.4" customHeight="1" x14ac:dyDescent="0.25">
      <c r="A247" s="237"/>
      <c r="B247" s="237"/>
      <c r="C247" s="237"/>
      <c r="D247" s="237"/>
    </row>
    <row r="248" spans="1:4" ht="26.4" customHeight="1" x14ac:dyDescent="0.25">
      <c r="A248" s="237"/>
      <c r="B248" s="237"/>
      <c r="C248" s="237"/>
      <c r="D248" s="237"/>
    </row>
    <row r="249" spans="1:4" ht="26.4" customHeight="1" x14ac:dyDescent="0.25">
      <c r="A249" s="237"/>
      <c r="B249" s="237"/>
      <c r="C249" s="237"/>
      <c r="D249" s="237"/>
    </row>
    <row r="250" spans="1:4" ht="26.4" customHeight="1" x14ac:dyDescent="0.25">
      <c r="A250" s="237"/>
      <c r="B250" s="237"/>
      <c r="C250" s="237"/>
      <c r="D250" s="237"/>
    </row>
    <row r="251" spans="1:4" x14ac:dyDescent="0.25">
      <c r="A251" s="237"/>
      <c r="B251" s="237"/>
      <c r="C251" s="237"/>
      <c r="D251" s="237"/>
    </row>
    <row r="252" spans="1:4" x14ac:dyDescent="0.25">
      <c r="A252" s="237"/>
      <c r="B252" s="237"/>
      <c r="C252" s="237"/>
      <c r="D252" s="237"/>
    </row>
    <row r="253" spans="1:4" x14ac:dyDescent="0.25">
      <c r="A253" s="237"/>
      <c r="B253" s="237"/>
      <c r="C253" s="237"/>
      <c r="D253" s="237"/>
    </row>
    <row r="254" spans="1:4" x14ac:dyDescent="0.25">
      <c r="A254" s="237"/>
      <c r="B254" s="237"/>
      <c r="C254" s="237"/>
      <c r="D254" s="237"/>
    </row>
    <row r="255" spans="1:4" x14ac:dyDescent="0.25">
      <c r="A255" s="237"/>
      <c r="B255" s="237"/>
      <c r="C255" s="237"/>
      <c r="D255" s="237"/>
    </row>
    <row r="256" spans="1:4" x14ac:dyDescent="0.25">
      <c r="A256" s="237"/>
      <c r="B256" s="237"/>
      <c r="C256" s="237"/>
      <c r="D256" s="237"/>
    </row>
    <row r="257" spans="1:4" x14ac:dyDescent="0.25">
      <c r="A257" s="237"/>
      <c r="B257" s="237"/>
      <c r="C257" s="237"/>
      <c r="D257" s="237"/>
    </row>
    <row r="258" spans="1:4" x14ac:dyDescent="0.25">
      <c r="A258" s="237"/>
      <c r="B258" s="237"/>
      <c r="C258" s="237"/>
      <c r="D258" s="237"/>
    </row>
    <row r="259" spans="1:4" x14ac:dyDescent="0.25">
      <c r="A259" s="237"/>
      <c r="B259" s="237"/>
      <c r="C259" s="237"/>
      <c r="D259" s="237"/>
    </row>
    <row r="260" spans="1:4" x14ac:dyDescent="0.25">
      <c r="A260" s="237"/>
      <c r="B260" s="237"/>
      <c r="C260" s="237"/>
      <c r="D260" s="237"/>
    </row>
    <row r="261" spans="1:4" x14ac:dyDescent="0.25">
      <c r="A261" s="237"/>
      <c r="B261" s="237"/>
      <c r="C261" s="237"/>
      <c r="D261" s="237"/>
    </row>
    <row r="262" spans="1:4" x14ac:dyDescent="0.25">
      <c r="A262" s="237"/>
      <c r="B262" s="237"/>
      <c r="C262" s="237"/>
      <c r="D262" s="237"/>
    </row>
    <row r="263" spans="1:4" x14ac:dyDescent="0.25">
      <c r="A263" s="237"/>
      <c r="B263" s="237"/>
      <c r="C263" s="237"/>
      <c r="D263" s="237"/>
    </row>
    <row r="264" spans="1:4" x14ac:dyDescent="0.25">
      <c r="A264" s="237"/>
      <c r="B264" s="237"/>
      <c r="C264" s="237"/>
      <c r="D264" s="237"/>
    </row>
    <row r="265" spans="1:4" x14ac:dyDescent="0.25">
      <c r="A265" s="237"/>
      <c r="B265" s="237"/>
      <c r="C265" s="237"/>
      <c r="D265" s="237"/>
    </row>
    <row r="266" spans="1:4" x14ac:dyDescent="0.25">
      <c r="A266" s="237"/>
      <c r="B266" s="237"/>
      <c r="C266" s="237"/>
      <c r="D266" s="237"/>
    </row>
    <row r="267" spans="1:4" x14ac:dyDescent="0.25">
      <c r="A267" s="237"/>
      <c r="B267" s="237"/>
      <c r="C267" s="237"/>
      <c r="D267" s="237"/>
    </row>
    <row r="268" spans="1:4" x14ac:dyDescent="0.25">
      <c r="A268" s="237"/>
      <c r="B268" s="237"/>
      <c r="C268" s="237"/>
      <c r="D268" s="237"/>
    </row>
    <row r="269" spans="1:4" x14ac:dyDescent="0.25">
      <c r="A269" s="237"/>
      <c r="B269" s="237"/>
      <c r="C269" s="237"/>
      <c r="D269" s="237"/>
    </row>
    <row r="270" spans="1:4" x14ac:dyDescent="0.25">
      <c r="A270" s="237"/>
      <c r="B270" s="237"/>
      <c r="C270" s="237"/>
      <c r="D270" s="237"/>
    </row>
    <row r="271" spans="1:4" x14ac:dyDescent="0.25">
      <c r="A271" s="237"/>
      <c r="B271" s="237"/>
      <c r="C271" s="237"/>
      <c r="D271" s="237"/>
    </row>
    <row r="272" spans="1:4" x14ac:dyDescent="0.25">
      <c r="A272" s="237"/>
      <c r="B272" s="237"/>
      <c r="C272" s="237"/>
      <c r="D272" s="237"/>
    </row>
    <row r="273" spans="1:4" x14ac:dyDescent="0.25">
      <c r="A273" s="237"/>
      <c r="B273" s="237"/>
      <c r="C273" s="237"/>
      <c r="D273" s="237"/>
    </row>
    <row r="274" spans="1:4" x14ac:dyDescent="0.25">
      <c r="A274" s="237"/>
      <c r="B274" s="237"/>
      <c r="C274" s="237"/>
      <c r="D274" s="237"/>
    </row>
    <row r="275" spans="1:4" x14ac:dyDescent="0.25">
      <c r="A275" s="237"/>
      <c r="B275" s="237"/>
      <c r="C275" s="237"/>
      <c r="D275" s="237"/>
    </row>
    <row r="276" spans="1:4" x14ac:dyDescent="0.25">
      <c r="A276" s="237"/>
      <c r="B276" s="237"/>
      <c r="C276" s="237"/>
      <c r="D276" s="237"/>
    </row>
    <row r="277" spans="1:4" x14ac:dyDescent="0.25">
      <c r="A277" s="237"/>
      <c r="B277" s="237"/>
      <c r="C277" s="237"/>
      <c r="D277" s="237"/>
    </row>
    <row r="278" spans="1:4" x14ac:dyDescent="0.25">
      <c r="A278" s="237"/>
      <c r="B278" s="237"/>
      <c r="C278" s="237"/>
      <c r="D278" s="237"/>
    </row>
    <row r="279" spans="1:4" x14ac:dyDescent="0.25">
      <c r="A279" s="237"/>
      <c r="B279" s="237"/>
      <c r="C279" s="237"/>
      <c r="D279" s="237"/>
    </row>
    <row r="280" spans="1:4" x14ac:dyDescent="0.25">
      <c r="A280" s="237"/>
      <c r="B280" s="237"/>
      <c r="C280" s="237"/>
      <c r="D280" s="237"/>
    </row>
    <row r="281" spans="1:4" x14ac:dyDescent="0.25">
      <c r="A281" s="237"/>
      <c r="B281" s="237"/>
      <c r="C281" s="237"/>
      <c r="D281" s="237"/>
    </row>
    <row r="282" spans="1:4" x14ac:dyDescent="0.25">
      <c r="A282" s="237"/>
      <c r="B282" s="237"/>
      <c r="C282" s="237"/>
      <c r="D282" s="237"/>
    </row>
    <row r="283" spans="1:4" x14ac:dyDescent="0.25">
      <c r="A283" s="237"/>
      <c r="B283" s="237"/>
      <c r="C283" s="237"/>
      <c r="D283" s="237"/>
    </row>
    <row r="284" spans="1:4" x14ac:dyDescent="0.25">
      <c r="A284" s="237"/>
      <c r="B284" s="237"/>
      <c r="C284" s="237"/>
      <c r="D284" s="237"/>
    </row>
    <row r="285" spans="1:4" x14ac:dyDescent="0.25">
      <c r="A285" s="237"/>
      <c r="B285" s="237"/>
      <c r="C285" s="237"/>
      <c r="D285" s="237"/>
    </row>
    <row r="286" spans="1:4" x14ac:dyDescent="0.25">
      <c r="A286" s="237"/>
      <c r="B286" s="237"/>
      <c r="C286" s="237"/>
      <c r="D286" s="237"/>
    </row>
    <row r="287" spans="1:4" x14ac:dyDescent="0.25">
      <c r="A287" s="237"/>
      <c r="B287" s="237"/>
      <c r="C287" s="237"/>
      <c r="D287" s="237"/>
    </row>
    <row r="288" spans="1:4" x14ac:dyDescent="0.25">
      <c r="A288" s="237"/>
      <c r="B288" s="237"/>
      <c r="C288" s="237"/>
      <c r="D288" s="237"/>
    </row>
    <row r="289" spans="1:4" x14ac:dyDescent="0.25">
      <c r="A289" s="237"/>
      <c r="B289" s="237"/>
      <c r="C289" s="237"/>
      <c r="D289" s="237"/>
    </row>
    <row r="290" spans="1:4" x14ac:dyDescent="0.25">
      <c r="A290" s="237"/>
      <c r="B290" s="237"/>
      <c r="C290" s="237"/>
      <c r="D290" s="237"/>
    </row>
    <row r="291" spans="1:4" x14ac:dyDescent="0.25">
      <c r="A291" s="237"/>
      <c r="B291" s="237"/>
      <c r="C291" s="237"/>
      <c r="D291" s="237"/>
    </row>
    <row r="292" spans="1:4" x14ac:dyDescent="0.25">
      <c r="A292" s="237"/>
      <c r="B292" s="237"/>
      <c r="C292" s="237"/>
      <c r="D292" s="237"/>
    </row>
    <row r="293" spans="1:4" x14ac:dyDescent="0.25">
      <c r="A293" s="237"/>
      <c r="B293" s="237"/>
      <c r="C293" s="237"/>
      <c r="D293" s="237"/>
    </row>
    <row r="294" spans="1:4" x14ac:dyDescent="0.25">
      <c r="A294" s="237"/>
      <c r="B294" s="237"/>
      <c r="C294" s="237"/>
      <c r="D294" s="237"/>
    </row>
    <row r="295" spans="1:4" x14ac:dyDescent="0.25">
      <c r="A295" s="237"/>
      <c r="B295" s="237"/>
      <c r="C295" s="237"/>
      <c r="D295" s="237"/>
    </row>
    <row r="296" spans="1:4" x14ac:dyDescent="0.25">
      <c r="A296" s="237"/>
      <c r="B296" s="237"/>
      <c r="C296" s="237"/>
      <c r="D296" s="237"/>
    </row>
    <row r="297" spans="1:4" x14ac:dyDescent="0.25">
      <c r="A297" s="237"/>
      <c r="B297" s="237"/>
      <c r="C297" s="237"/>
      <c r="D297" s="237"/>
    </row>
    <row r="298" spans="1:4" x14ac:dyDescent="0.25">
      <c r="A298" s="237"/>
      <c r="B298" s="237"/>
      <c r="C298" s="237"/>
      <c r="D298" s="237"/>
    </row>
    <row r="299" spans="1:4" x14ac:dyDescent="0.25">
      <c r="A299" s="237"/>
      <c r="B299" s="237"/>
      <c r="C299" s="237"/>
      <c r="D299" s="237"/>
    </row>
    <row r="300" spans="1:4" x14ac:dyDescent="0.25">
      <c r="A300" s="237"/>
      <c r="B300" s="237"/>
      <c r="C300" s="237"/>
      <c r="D300" s="237"/>
    </row>
    <row r="301" spans="1:4" x14ac:dyDescent="0.25">
      <c r="A301" s="237"/>
      <c r="B301" s="237"/>
      <c r="C301" s="237"/>
      <c r="D301" s="237"/>
    </row>
    <row r="302" spans="1:4" x14ac:dyDescent="0.25">
      <c r="A302" s="237"/>
      <c r="B302" s="237"/>
      <c r="C302" s="237"/>
      <c r="D302" s="237"/>
    </row>
    <row r="303" spans="1:4" x14ac:dyDescent="0.25">
      <c r="A303" s="237"/>
      <c r="B303" s="237"/>
      <c r="C303" s="237"/>
      <c r="D303" s="237"/>
    </row>
    <row r="304" spans="1:4" x14ac:dyDescent="0.25">
      <c r="A304" s="237"/>
      <c r="B304" s="237"/>
      <c r="C304" s="237"/>
      <c r="D304" s="237"/>
    </row>
    <row r="305" spans="1:4" x14ac:dyDescent="0.25">
      <c r="A305" s="237"/>
      <c r="B305" s="237"/>
      <c r="C305" s="237"/>
      <c r="D305" s="237"/>
    </row>
    <row r="306" spans="1:4" x14ac:dyDescent="0.25">
      <c r="A306" s="237"/>
      <c r="B306" s="237"/>
      <c r="C306" s="237"/>
      <c r="D306" s="237"/>
    </row>
    <row r="307" spans="1:4" x14ac:dyDescent="0.25">
      <c r="A307" s="237"/>
      <c r="B307" s="237"/>
      <c r="C307" s="237"/>
      <c r="D307" s="237"/>
    </row>
    <row r="308" spans="1:4" x14ac:dyDescent="0.25">
      <c r="A308" s="237"/>
      <c r="B308" s="237"/>
      <c r="C308" s="237"/>
      <c r="D308" s="237"/>
    </row>
    <row r="309" spans="1:4" x14ac:dyDescent="0.25">
      <c r="A309" s="237"/>
      <c r="B309" s="237"/>
      <c r="C309" s="237"/>
      <c r="D309" s="237"/>
    </row>
    <row r="310" spans="1:4" x14ac:dyDescent="0.25">
      <c r="A310" s="237"/>
      <c r="B310" s="237"/>
      <c r="C310" s="237"/>
      <c r="D310" s="237"/>
    </row>
    <row r="311" spans="1:4" x14ac:dyDescent="0.25">
      <c r="A311" s="237"/>
      <c r="B311" s="237"/>
      <c r="C311" s="237"/>
      <c r="D311" s="237"/>
    </row>
    <row r="312" spans="1:4" x14ac:dyDescent="0.25">
      <c r="A312" s="237"/>
      <c r="B312" s="237"/>
      <c r="C312" s="237"/>
      <c r="D312" s="237"/>
    </row>
    <row r="313" spans="1:4" x14ac:dyDescent="0.25">
      <c r="A313" s="237"/>
      <c r="B313" s="237"/>
      <c r="C313" s="237"/>
      <c r="D313" s="237"/>
    </row>
    <row r="314" spans="1:4" x14ac:dyDescent="0.25">
      <c r="A314" s="237"/>
      <c r="B314" s="237"/>
      <c r="C314" s="237"/>
      <c r="D314" s="237"/>
    </row>
    <row r="315" spans="1:4" x14ac:dyDescent="0.25">
      <c r="A315" s="237"/>
      <c r="B315" s="237"/>
      <c r="C315" s="237"/>
      <c r="D315" s="237"/>
    </row>
    <row r="316" spans="1:4" x14ac:dyDescent="0.25">
      <c r="A316" s="237"/>
      <c r="B316" s="237"/>
      <c r="C316" s="237"/>
      <c r="D316" s="237"/>
    </row>
    <row r="317" spans="1:4" x14ac:dyDescent="0.25">
      <c r="A317" s="237"/>
      <c r="B317" s="237"/>
      <c r="C317" s="237"/>
      <c r="D317" s="237"/>
    </row>
    <row r="318" spans="1:4" x14ac:dyDescent="0.25">
      <c r="A318" s="237"/>
      <c r="B318" s="237"/>
      <c r="C318" s="237"/>
      <c r="D318" s="237"/>
    </row>
    <row r="319" spans="1:4" x14ac:dyDescent="0.25">
      <c r="A319" s="237"/>
      <c r="B319" s="237"/>
      <c r="C319" s="237"/>
      <c r="D319" s="237"/>
    </row>
    <row r="320" spans="1:4" x14ac:dyDescent="0.25">
      <c r="A320" s="237"/>
      <c r="B320" s="237"/>
      <c r="C320" s="237"/>
      <c r="D320" s="237"/>
    </row>
    <row r="321" spans="1:4" x14ac:dyDescent="0.25">
      <c r="A321" s="237"/>
      <c r="B321" s="237"/>
      <c r="C321" s="237"/>
      <c r="D321" s="237"/>
    </row>
    <row r="322" spans="1:4" x14ac:dyDescent="0.25">
      <c r="A322" s="237"/>
      <c r="B322" s="237"/>
      <c r="C322" s="237"/>
      <c r="D322" s="237"/>
    </row>
    <row r="323" spans="1:4" x14ac:dyDescent="0.25">
      <c r="A323" s="237"/>
      <c r="B323" s="237"/>
      <c r="C323" s="237"/>
      <c r="D323" s="237"/>
    </row>
    <row r="324" spans="1:4" x14ac:dyDescent="0.25">
      <c r="A324" s="237"/>
      <c r="B324" s="237"/>
      <c r="C324" s="237"/>
      <c r="D324" s="237"/>
    </row>
    <row r="325" spans="1:4" x14ac:dyDescent="0.25">
      <c r="A325" s="237"/>
      <c r="B325" s="237"/>
      <c r="C325" s="237"/>
      <c r="D325" s="237"/>
    </row>
    <row r="326" spans="1:4" x14ac:dyDescent="0.25">
      <c r="A326" s="237"/>
      <c r="B326" s="237"/>
      <c r="C326" s="237"/>
      <c r="D326" s="237"/>
    </row>
    <row r="327" spans="1:4" x14ac:dyDescent="0.25">
      <c r="A327" s="237"/>
      <c r="B327" s="237"/>
      <c r="C327" s="237"/>
      <c r="D327" s="237"/>
    </row>
    <row r="328" spans="1:4" x14ac:dyDescent="0.25">
      <c r="A328" s="237"/>
      <c r="B328" s="237"/>
      <c r="C328" s="237"/>
      <c r="D328" s="237"/>
    </row>
    <row r="329" spans="1:4" x14ac:dyDescent="0.25">
      <c r="A329" s="237"/>
      <c r="B329" s="237"/>
      <c r="C329" s="237"/>
      <c r="D329" s="237"/>
    </row>
    <row r="330" spans="1:4" x14ac:dyDescent="0.25">
      <c r="A330" s="237"/>
      <c r="B330" s="237"/>
      <c r="C330" s="237"/>
      <c r="D330" s="237"/>
    </row>
    <row r="331" spans="1:4" x14ac:dyDescent="0.25">
      <c r="A331" s="237"/>
      <c r="B331" s="237"/>
      <c r="C331" s="237"/>
      <c r="D331" s="237"/>
    </row>
    <row r="332" spans="1:4" x14ac:dyDescent="0.25">
      <c r="A332" s="237"/>
      <c r="B332" s="237"/>
      <c r="C332" s="237"/>
      <c r="D332" s="237"/>
    </row>
    <row r="333" spans="1:4" x14ac:dyDescent="0.25">
      <c r="A333" s="237"/>
      <c r="B333" s="237"/>
      <c r="C333" s="237"/>
      <c r="D333" s="237"/>
    </row>
    <row r="334" spans="1:4" x14ac:dyDescent="0.25">
      <c r="A334" s="237"/>
      <c r="B334" s="237"/>
      <c r="C334" s="237"/>
      <c r="D334" s="237"/>
    </row>
    <row r="335" spans="1:4" x14ac:dyDescent="0.25">
      <c r="A335" s="237"/>
      <c r="B335" s="237"/>
      <c r="C335" s="237"/>
      <c r="D335" s="237"/>
    </row>
    <row r="336" spans="1:4" x14ac:dyDescent="0.25">
      <c r="A336" s="237"/>
      <c r="B336" s="237"/>
      <c r="C336" s="237"/>
      <c r="D336" s="237"/>
    </row>
    <row r="337" spans="1:4" x14ac:dyDescent="0.25">
      <c r="A337" s="237"/>
      <c r="B337" s="237"/>
      <c r="C337" s="237"/>
      <c r="D337" s="237"/>
    </row>
    <row r="338" spans="1:4" x14ac:dyDescent="0.25">
      <c r="A338" s="237"/>
      <c r="B338" s="237"/>
      <c r="C338" s="237"/>
      <c r="D338" s="237"/>
    </row>
    <row r="339" spans="1:4" x14ac:dyDescent="0.25">
      <c r="A339" s="237"/>
      <c r="B339" s="237"/>
      <c r="C339" s="237"/>
      <c r="D339" s="237"/>
    </row>
    <row r="340" spans="1:4" x14ac:dyDescent="0.25">
      <c r="A340" s="237"/>
      <c r="B340" s="237"/>
      <c r="C340" s="237"/>
      <c r="D340" s="237"/>
    </row>
    <row r="341" spans="1:4" x14ac:dyDescent="0.25">
      <c r="A341" s="237"/>
      <c r="B341" s="237"/>
      <c r="C341" s="237"/>
      <c r="D341" s="237"/>
    </row>
    <row r="342" spans="1:4" x14ac:dyDescent="0.25">
      <c r="A342" s="237"/>
      <c r="B342" s="237"/>
      <c r="C342" s="237"/>
      <c r="D342" s="237"/>
    </row>
    <row r="343" spans="1:4" x14ac:dyDescent="0.25">
      <c r="A343" s="237"/>
      <c r="B343" s="237"/>
      <c r="C343" s="237"/>
      <c r="D343" s="237"/>
    </row>
    <row r="344" spans="1:4" x14ac:dyDescent="0.25">
      <c r="A344" s="237"/>
      <c r="B344" s="237"/>
      <c r="C344" s="237"/>
      <c r="D344" s="237"/>
    </row>
    <row r="345" spans="1:4" x14ac:dyDescent="0.25">
      <c r="A345" s="237"/>
      <c r="B345" s="237"/>
      <c r="C345" s="237"/>
      <c r="D345" s="237"/>
    </row>
    <row r="346" spans="1:4" x14ac:dyDescent="0.25">
      <c r="A346" s="237"/>
      <c r="B346" s="237"/>
      <c r="C346" s="237"/>
      <c r="D346" s="237"/>
    </row>
    <row r="347" spans="1:4" x14ac:dyDescent="0.25">
      <c r="A347" s="237"/>
      <c r="B347" s="237"/>
      <c r="C347" s="237"/>
      <c r="D347" s="237"/>
    </row>
    <row r="348" spans="1:4" x14ac:dyDescent="0.25">
      <c r="A348" s="237"/>
      <c r="B348" s="237"/>
      <c r="C348" s="237"/>
      <c r="D348" s="237"/>
    </row>
    <row r="349" spans="1:4" x14ac:dyDescent="0.25">
      <c r="A349" s="237"/>
      <c r="B349" s="237"/>
      <c r="C349" s="237"/>
      <c r="D349" s="237"/>
    </row>
    <row r="350" spans="1:4" x14ac:dyDescent="0.25">
      <c r="A350" s="237"/>
      <c r="B350" s="237"/>
      <c r="C350" s="237"/>
      <c r="D350" s="237"/>
    </row>
    <row r="351" spans="1:4" x14ac:dyDescent="0.25">
      <c r="A351" s="237"/>
      <c r="B351" s="237"/>
      <c r="C351" s="237"/>
      <c r="D351" s="237"/>
    </row>
    <row r="352" spans="1:4" x14ac:dyDescent="0.25">
      <c r="A352" s="237"/>
      <c r="B352" s="237"/>
      <c r="C352" s="237"/>
      <c r="D352" s="237"/>
    </row>
    <row r="353" spans="1:4" x14ac:dyDescent="0.25">
      <c r="A353" s="237"/>
      <c r="B353" s="237"/>
      <c r="C353" s="237"/>
      <c r="D353" s="237"/>
    </row>
    <row r="354" spans="1:4" x14ac:dyDescent="0.25">
      <c r="A354" s="237"/>
      <c r="B354" s="237"/>
      <c r="C354" s="237"/>
      <c r="D354" s="237"/>
    </row>
    <row r="355" spans="1:4" x14ac:dyDescent="0.25">
      <c r="A355" s="237"/>
      <c r="B355" s="237"/>
      <c r="C355" s="237"/>
      <c r="D355" s="237"/>
    </row>
    <row r="356" spans="1:4" x14ac:dyDescent="0.25">
      <c r="A356" s="237"/>
      <c r="B356" s="237"/>
      <c r="C356" s="237"/>
      <c r="D356" s="237"/>
    </row>
    <row r="357" spans="1:4" x14ac:dyDescent="0.25">
      <c r="A357" s="237"/>
      <c r="B357" s="237"/>
      <c r="C357" s="237"/>
      <c r="D357" s="237"/>
    </row>
    <row r="358" spans="1:4" x14ac:dyDescent="0.25">
      <c r="A358" s="237"/>
      <c r="B358" s="237"/>
      <c r="C358" s="237"/>
      <c r="D358" s="237"/>
    </row>
    <row r="359" spans="1:4" x14ac:dyDescent="0.25">
      <c r="A359" s="237"/>
      <c r="B359" s="237"/>
      <c r="C359" s="237"/>
      <c r="D359" s="237"/>
    </row>
    <row r="360" spans="1:4" x14ac:dyDescent="0.25">
      <c r="A360" s="237"/>
      <c r="B360" s="237"/>
      <c r="C360" s="237"/>
      <c r="D360" s="237"/>
    </row>
    <row r="361" spans="1:4" x14ac:dyDescent="0.25">
      <c r="A361" s="237"/>
      <c r="B361" s="237"/>
      <c r="C361" s="237"/>
      <c r="D361" s="237"/>
    </row>
    <row r="362" spans="1:4" x14ac:dyDescent="0.25">
      <c r="A362" s="237"/>
      <c r="B362" s="237"/>
      <c r="C362" s="237"/>
      <c r="D362" s="237"/>
    </row>
    <row r="363" spans="1:4" x14ac:dyDescent="0.25">
      <c r="A363" s="237"/>
      <c r="B363" s="237"/>
      <c r="C363" s="237"/>
      <c r="D363" s="237"/>
    </row>
    <row r="364" spans="1:4" x14ac:dyDescent="0.25">
      <c r="A364" s="237"/>
      <c r="B364" s="237"/>
      <c r="C364" s="237"/>
      <c r="D364" s="237"/>
    </row>
    <row r="365" spans="1:4" x14ac:dyDescent="0.25">
      <c r="A365" s="237"/>
      <c r="B365" s="237"/>
      <c r="C365" s="237"/>
      <c r="D365" s="237"/>
    </row>
    <row r="366" spans="1:4" x14ac:dyDescent="0.25">
      <c r="A366" s="237"/>
      <c r="B366" s="237"/>
      <c r="C366" s="237"/>
      <c r="D366" s="237"/>
    </row>
    <row r="367" spans="1:4" x14ac:dyDescent="0.25">
      <c r="A367" s="237"/>
      <c r="B367" s="237"/>
      <c r="C367" s="237"/>
      <c r="D367" s="237"/>
    </row>
    <row r="368" spans="1:4" x14ac:dyDescent="0.25">
      <c r="A368" s="237"/>
      <c r="B368" s="237"/>
      <c r="C368" s="237"/>
      <c r="D368" s="237"/>
    </row>
    <row r="369" spans="1:4" x14ac:dyDescent="0.25">
      <c r="A369" s="237"/>
      <c r="B369" s="237"/>
      <c r="C369" s="237"/>
      <c r="D369" s="237"/>
    </row>
    <row r="370" spans="1:4" x14ac:dyDescent="0.25">
      <c r="A370" s="237"/>
      <c r="B370" s="237"/>
      <c r="C370" s="237"/>
      <c r="D370" s="237"/>
    </row>
    <row r="371" spans="1:4" x14ac:dyDescent="0.25">
      <c r="A371" s="237"/>
      <c r="B371" s="237"/>
      <c r="C371" s="237"/>
      <c r="D371" s="237"/>
    </row>
    <row r="372" spans="1:4" x14ac:dyDescent="0.25">
      <c r="A372" s="237"/>
      <c r="B372" s="237"/>
      <c r="C372" s="237"/>
      <c r="D372" s="237"/>
    </row>
    <row r="373" spans="1:4" x14ac:dyDescent="0.25">
      <c r="A373" s="237"/>
      <c r="B373" s="237"/>
      <c r="C373" s="237"/>
      <c r="D373" s="237"/>
    </row>
    <row r="374" spans="1:4" x14ac:dyDescent="0.25">
      <c r="A374" s="237"/>
      <c r="B374" s="237"/>
      <c r="C374" s="237"/>
      <c r="D374" s="237"/>
    </row>
    <row r="375" spans="1:4" x14ac:dyDescent="0.25">
      <c r="A375" s="237"/>
      <c r="B375" s="237"/>
      <c r="C375" s="237"/>
      <c r="D375" s="237"/>
    </row>
    <row r="376" spans="1:4" x14ac:dyDescent="0.25">
      <c r="A376" s="237"/>
      <c r="B376" s="237"/>
      <c r="C376" s="237"/>
      <c r="D376" s="237"/>
    </row>
    <row r="377" spans="1:4" x14ac:dyDescent="0.25">
      <c r="A377" s="237"/>
      <c r="B377" s="237"/>
      <c r="C377" s="237"/>
      <c r="D377" s="237"/>
    </row>
    <row r="378" spans="1:4" x14ac:dyDescent="0.25">
      <c r="A378" s="237"/>
      <c r="B378" s="237"/>
      <c r="C378" s="237"/>
      <c r="D378" s="237"/>
    </row>
    <row r="379" spans="1:4" x14ac:dyDescent="0.25">
      <c r="A379" s="237"/>
      <c r="B379" s="237"/>
      <c r="C379" s="237"/>
      <c r="D379" s="237"/>
    </row>
    <row r="380" spans="1:4" x14ac:dyDescent="0.25">
      <c r="A380" s="237"/>
      <c r="B380" s="237"/>
      <c r="C380" s="237"/>
      <c r="D380" s="237"/>
    </row>
    <row r="381" spans="1:4" x14ac:dyDescent="0.25">
      <c r="A381" s="237"/>
      <c r="B381" s="237"/>
      <c r="C381" s="237"/>
      <c r="D381" s="237"/>
    </row>
    <row r="382" spans="1:4" x14ac:dyDescent="0.25">
      <c r="A382" s="237"/>
      <c r="B382" s="237"/>
      <c r="C382" s="237"/>
      <c r="D382" s="237"/>
    </row>
    <row r="383" spans="1:4" x14ac:dyDescent="0.25">
      <c r="A383" s="237"/>
      <c r="B383" s="237"/>
      <c r="C383" s="237"/>
      <c r="D383" s="237"/>
    </row>
    <row r="384" spans="1:4" x14ac:dyDescent="0.25">
      <c r="A384" s="237"/>
      <c r="B384" s="237"/>
      <c r="C384" s="237"/>
      <c r="D384" s="237"/>
    </row>
    <row r="385" spans="1:4" x14ac:dyDescent="0.25">
      <c r="A385" s="237"/>
      <c r="B385" s="237"/>
      <c r="C385" s="237"/>
      <c r="D385" s="237"/>
    </row>
    <row r="386" spans="1:4" x14ac:dyDescent="0.25">
      <c r="A386" s="237"/>
      <c r="B386" s="237"/>
      <c r="C386" s="237"/>
      <c r="D386" s="237"/>
    </row>
    <row r="387" spans="1:4" x14ac:dyDescent="0.25">
      <c r="A387" s="237"/>
      <c r="B387" s="237"/>
      <c r="C387" s="237"/>
      <c r="D387" s="237"/>
    </row>
    <row r="388" spans="1:4" x14ac:dyDescent="0.25">
      <c r="A388" s="237"/>
      <c r="B388" s="237"/>
      <c r="C388" s="237"/>
      <c r="D388" s="237"/>
    </row>
    <row r="389" spans="1:4" x14ac:dyDescent="0.25">
      <c r="A389" s="237"/>
      <c r="B389" s="237"/>
      <c r="C389" s="237"/>
      <c r="D389" s="237"/>
    </row>
    <row r="390" spans="1:4" x14ac:dyDescent="0.25">
      <c r="A390" s="237"/>
      <c r="B390" s="237"/>
      <c r="C390" s="237"/>
      <c r="D390" s="237"/>
    </row>
    <row r="391" spans="1:4" x14ac:dyDescent="0.25">
      <c r="A391" s="237"/>
      <c r="B391" s="237"/>
      <c r="C391" s="237"/>
      <c r="D391" s="237"/>
    </row>
    <row r="392" spans="1:4" x14ac:dyDescent="0.25">
      <c r="A392" s="237"/>
      <c r="B392" s="237"/>
      <c r="C392" s="237"/>
      <c r="D392" s="237"/>
    </row>
    <row r="393" spans="1:4" x14ac:dyDescent="0.25">
      <c r="A393" s="237"/>
      <c r="B393" s="237"/>
      <c r="C393" s="237"/>
      <c r="D393" s="237"/>
    </row>
    <row r="394" spans="1:4" x14ac:dyDescent="0.25">
      <c r="A394" s="237"/>
      <c r="B394" s="237"/>
      <c r="C394" s="237"/>
      <c r="D394" s="237"/>
    </row>
    <row r="395" spans="1:4" x14ac:dyDescent="0.25">
      <c r="A395" s="237"/>
      <c r="B395" s="237"/>
      <c r="C395" s="237"/>
      <c r="D395" s="237"/>
    </row>
    <row r="396" spans="1:4" x14ac:dyDescent="0.25">
      <c r="A396" s="237"/>
      <c r="B396" s="237"/>
      <c r="C396" s="237"/>
      <c r="D396" s="237"/>
    </row>
    <row r="397" spans="1:4" x14ac:dyDescent="0.25">
      <c r="A397" s="237"/>
      <c r="B397" s="237"/>
      <c r="C397" s="237"/>
      <c r="D397" s="237"/>
    </row>
    <row r="398" spans="1:4" x14ac:dyDescent="0.25">
      <c r="A398" s="237"/>
      <c r="B398" s="237"/>
      <c r="C398" s="237"/>
      <c r="D398" s="237"/>
    </row>
    <row r="399" spans="1:4" x14ac:dyDescent="0.25">
      <c r="A399" s="237"/>
      <c r="B399" s="237"/>
      <c r="C399" s="237"/>
      <c r="D399" s="237"/>
    </row>
    <row r="400" spans="1:4" x14ac:dyDescent="0.25">
      <c r="A400" s="237"/>
      <c r="B400" s="237"/>
      <c r="C400" s="237"/>
      <c r="D400" s="237"/>
    </row>
    <row r="401" spans="1:4" x14ac:dyDescent="0.25">
      <c r="A401" s="237"/>
      <c r="B401" s="237"/>
      <c r="C401" s="237"/>
      <c r="D401" s="237"/>
    </row>
    <row r="402" spans="1:4" x14ac:dyDescent="0.25">
      <c r="A402" s="237"/>
      <c r="B402" s="237"/>
      <c r="C402" s="237"/>
      <c r="D402" s="237"/>
    </row>
    <row r="403" spans="1:4" x14ac:dyDescent="0.25">
      <c r="A403" s="237"/>
      <c r="B403" s="237"/>
      <c r="C403" s="237"/>
      <c r="D403" s="237"/>
    </row>
    <row r="404" spans="1:4" x14ac:dyDescent="0.25">
      <c r="A404" s="237"/>
      <c r="B404" s="237"/>
      <c r="C404" s="237"/>
      <c r="D404" s="237"/>
    </row>
    <row r="405" spans="1:4" x14ac:dyDescent="0.25">
      <c r="A405" s="237"/>
      <c r="B405" s="237"/>
      <c r="C405" s="237"/>
      <c r="D405" s="237"/>
    </row>
    <row r="406" spans="1:4" x14ac:dyDescent="0.25">
      <c r="A406" s="237"/>
      <c r="B406" s="237"/>
      <c r="C406" s="237"/>
      <c r="D406" s="237"/>
    </row>
    <row r="407" spans="1:4" x14ac:dyDescent="0.25">
      <c r="A407" s="237"/>
      <c r="B407" s="237"/>
      <c r="C407" s="237"/>
      <c r="D407" s="237"/>
    </row>
    <row r="408" spans="1:4" x14ac:dyDescent="0.25">
      <c r="A408" s="237"/>
      <c r="B408" s="237"/>
      <c r="C408" s="237"/>
      <c r="D408" s="237"/>
    </row>
    <row r="409" spans="1:4" x14ac:dyDescent="0.25">
      <c r="A409" s="237"/>
      <c r="B409" s="237"/>
      <c r="C409" s="237"/>
      <c r="D409" s="237"/>
    </row>
    <row r="410" spans="1:4" x14ac:dyDescent="0.25">
      <c r="A410" s="237"/>
      <c r="B410" s="237"/>
      <c r="C410" s="237"/>
      <c r="D410" s="237"/>
    </row>
    <row r="411" spans="1:4" x14ac:dyDescent="0.25">
      <c r="A411" s="237"/>
      <c r="B411" s="237"/>
      <c r="C411" s="237"/>
      <c r="D411" s="237"/>
    </row>
    <row r="412" spans="1:4" x14ac:dyDescent="0.25">
      <c r="A412" s="237"/>
      <c r="B412" s="237"/>
      <c r="C412" s="237"/>
      <c r="D412" s="237"/>
    </row>
    <row r="413" spans="1:4" x14ac:dyDescent="0.25">
      <c r="A413" s="237"/>
      <c r="B413" s="237"/>
      <c r="C413" s="237"/>
      <c r="D413" s="237"/>
    </row>
    <row r="414" spans="1:4" x14ac:dyDescent="0.25">
      <c r="A414" s="237"/>
      <c r="B414" s="237"/>
      <c r="C414" s="237"/>
      <c r="D414" s="237"/>
    </row>
    <row r="415" spans="1:4" x14ac:dyDescent="0.25">
      <c r="A415" s="237"/>
      <c r="B415" s="237"/>
      <c r="C415" s="237"/>
      <c r="D415" s="237"/>
    </row>
    <row r="416" spans="1:4" x14ac:dyDescent="0.25">
      <c r="A416" s="237"/>
      <c r="B416" s="237"/>
      <c r="C416" s="237"/>
      <c r="D416" s="237"/>
    </row>
    <row r="417" spans="1:4" x14ac:dyDescent="0.25">
      <c r="A417" s="237"/>
      <c r="B417" s="237"/>
      <c r="C417" s="237"/>
      <c r="D417" s="237"/>
    </row>
    <row r="418" spans="1:4" x14ac:dyDescent="0.25">
      <c r="A418" s="237"/>
      <c r="B418" s="237"/>
      <c r="C418" s="237"/>
      <c r="D418" s="237"/>
    </row>
    <row r="419" spans="1:4" x14ac:dyDescent="0.25">
      <c r="A419" s="237"/>
      <c r="B419" s="237"/>
      <c r="C419" s="237"/>
      <c r="D419" s="237"/>
    </row>
    <row r="420" spans="1:4" x14ac:dyDescent="0.25">
      <c r="A420" s="237"/>
      <c r="B420" s="237"/>
      <c r="C420" s="237"/>
      <c r="D420" s="237"/>
    </row>
    <row r="421" spans="1:4" x14ac:dyDescent="0.25">
      <c r="A421" s="237"/>
      <c r="B421" s="237"/>
      <c r="C421" s="237"/>
      <c r="D421" s="237"/>
    </row>
    <row r="422" spans="1:4" x14ac:dyDescent="0.25">
      <c r="A422" s="237"/>
      <c r="B422" s="237"/>
      <c r="C422" s="237"/>
      <c r="D422" s="237"/>
    </row>
    <row r="423" spans="1:4" x14ac:dyDescent="0.25">
      <c r="A423" s="237"/>
      <c r="B423" s="237"/>
      <c r="C423" s="237"/>
      <c r="D423" s="237"/>
    </row>
    <row r="424" spans="1:4" x14ac:dyDescent="0.25">
      <c r="A424" s="237"/>
      <c r="B424" s="237"/>
      <c r="C424" s="237"/>
      <c r="D424" s="237"/>
    </row>
    <row r="425" spans="1:4" x14ac:dyDescent="0.25">
      <c r="A425" s="237"/>
      <c r="B425" s="237"/>
      <c r="C425" s="237"/>
      <c r="D425" s="237"/>
    </row>
    <row r="426" spans="1:4" x14ac:dyDescent="0.25">
      <c r="A426" s="237"/>
      <c r="B426" s="237"/>
      <c r="C426" s="237"/>
      <c r="D426" s="237"/>
    </row>
    <row r="427" spans="1:4" x14ac:dyDescent="0.25">
      <c r="A427" s="237"/>
      <c r="B427" s="237"/>
      <c r="C427" s="237"/>
      <c r="D427" s="237"/>
    </row>
    <row r="428" spans="1:4" x14ac:dyDescent="0.25">
      <c r="A428" s="237"/>
      <c r="B428" s="237"/>
      <c r="C428" s="237"/>
      <c r="D428" s="237"/>
    </row>
    <row r="429" spans="1:4" x14ac:dyDescent="0.25">
      <c r="A429" s="237"/>
      <c r="B429" s="237"/>
      <c r="C429" s="237"/>
      <c r="D429" s="237"/>
    </row>
    <row r="430" spans="1:4" x14ac:dyDescent="0.25">
      <c r="A430" s="237"/>
      <c r="B430" s="237"/>
      <c r="C430" s="237"/>
      <c r="D430" s="237"/>
    </row>
    <row r="431" spans="1:4" x14ac:dyDescent="0.25">
      <c r="A431" s="237"/>
      <c r="B431" s="237"/>
      <c r="C431" s="237"/>
      <c r="D431" s="237"/>
    </row>
    <row r="432" spans="1:4" x14ac:dyDescent="0.25">
      <c r="A432" s="237"/>
      <c r="B432" s="237"/>
      <c r="C432" s="237"/>
      <c r="D432" s="237"/>
    </row>
    <row r="433" spans="1:4" x14ac:dyDescent="0.25">
      <c r="A433" s="237"/>
      <c r="B433" s="237"/>
      <c r="C433" s="237"/>
      <c r="D433" s="237"/>
    </row>
    <row r="434" spans="1:4" x14ac:dyDescent="0.25">
      <c r="A434" s="237"/>
      <c r="B434" s="237"/>
      <c r="C434" s="237"/>
      <c r="D434" s="237"/>
    </row>
    <row r="435" spans="1:4" x14ac:dyDescent="0.25">
      <c r="A435" s="237"/>
      <c r="B435" s="237"/>
      <c r="C435" s="237"/>
      <c r="D435" s="237"/>
    </row>
    <row r="436" spans="1:4" x14ac:dyDescent="0.25">
      <c r="A436" s="237"/>
      <c r="B436" s="237"/>
      <c r="C436" s="237"/>
      <c r="D436" s="237"/>
    </row>
    <row r="437" spans="1:4" x14ac:dyDescent="0.25">
      <c r="A437" s="237"/>
      <c r="B437" s="237"/>
      <c r="C437" s="237"/>
      <c r="D437" s="237"/>
    </row>
    <row r="438" spans="1:4" x14ac:dyDescent="0.25">
      <c r="A438" s="237"/>
      <c r="B438" s="237"/>
      <c r="C438" s="237"/>
      <c r="D438" s="237"/>
    </row>
    <row r="439" spans="1:4" x14ac:dyDescent="0.25">
      <c r="A439" s="237"/>
      <c r="B439" s="237"/>
      <c r="C439" s="237"/>
      <c r="D439" s="237"/>
    </row>
    <row r="440" spans="1:4" x14ac:dyDescent="0.25">
      <c r="A440" s="237"/>
      <c r="B440" s="237"/>
      <c r="C440" s="237"/>
      <c r="D440" s="237"/>
    </row>
    <row r="441" spans="1:4" x14ac:dyDescent="0.25">
      <c r="A441" s="237"/>
      <c r="B441" s="237"/>
      <c r="C441" s="237"/>
      <c r="D441" s="237"/>
    </row>
    <row r="442" spans="1:4" x14ac:dyDescent="0.25">
      <c r="A442" s="237"/>
      <c r="B442" s="237"/>
      <c r="C442" s="237"/>
      <c r="D442" s="237"/>
    </row>
    <row r="443" spans="1:4" x14ac:dyDescent="0.25">
      <c r="A443" s="237"/>
      <c r="B443" s="237"/>
      <c r="C443" s="237"/>
      <c r="D443" s="237"/>
    </row>
    <row r="444" spans="1:4" x14ac:dyDescent="0.25">
      <c r="A444" s="237"/>
      <c r="B444" s="237"/>
      <c r="C444" s="237"/>
      <c r="D444" s="237"/>
    </row>
    <row r="445" spans="1:4" x14ac:dyDescent="0.25">
      <c r="A445" s="237"/>
      <c r="B445" s="237"/>
      <c r="C445" s="237"/>
      <c r="D445" s="237"/>
    </row>
    <row r="446" spans="1:4" x14ac:dyDescent="0.25">
      <c r="A446" s="237"/>
      <c r="B446" s="237"/>
      <c r="C446" s="237"/>
      <c r="D446" s="237"/>
    </row>
    <row r="447" spans="1:4" x14ac:dyDescent="0.25">
      <c r="A447" s="237"/>
      <c r="B447" s="237"/>
      <c r="C447" s="237"/>
      <c r="D447" s="237"/>
    </row>
    <row r="448" spans="1:4" x14ac:dyDescent="0.25">
      <c r="A448" s="237"/>
      <c r="B448" s="237"/>
      <c r="C448" s="237"/>
      <c r="D448" s="237"/>
    </row>
    <row r="449" spans="1:4" x14ac:dyDescent="0.25">
      <c r="A449" s="237"/>
      <c r="B449" s="237"/>
      <c r="C449" s="237"/>
      <c r="D449" s="237"/>
    </row>
    <row r="450" spans="1:4" x14ac:dyDescent="0.25">
      <c r="A450" s="237"/>
      <c r="B450" s="237"/>
      <c r="C450" s="237"/>
      <c r="D450" s="237"/>
    </row>
    <row r="451" spans="1:4" x14ac:dyDescent="0.25">
      <c r="A451" s="237"/>
      <c r="B451" s="237"/>
      <c r="C451" s="237"/>
      <c r="D451" s="237"/>
    </row>
    <row r="452" spans="1:4" x14ac:dyDescent="0.25">
      <c r="A452" s="237"/>
      <c r="B452" s="237"/>
      <c r="C452" s="237"/>
      <c r="D452" s="237"/>
    </row>
    <row r="453" spans="1:4" x14ac:dyDescent="0.25">
      <c r="A453" s="237"/>
      <c r="B453" s="237"/>
      <c r="C453" s="237"/>
      <c r="D453" s="237"/>
    </row>
    <row r="454" spans="1:4" x14ac:dyDescent="0.25">
      <c r="A454" s="237"/>
      <c r="B454" s="237"/>
      <c r="C454" s="237"/>
      <c r="D454" s="237"/>
    </row>
    <row r="455" spans="1:4" x14ac:dyDescent="0.25">
      <c r="A455" s="237"/>
      <c r="B455" s="237"/>
      <c r="C455" s="237"/>
      <c r="D455" s="237"/>
    </row>
    <row r="456" spans="1:4" x14ac:dyDescent="0.25">
      <c r="A456" s="237"/>
      <c r="B456" s="237"/>
      <c r="C456" s="237"/>
      <c r="D456" s="237"/>
    </row>
    <row r="457" spans="1:4" x14ac:dyDescent="0.25">
      <c r="A457" s="237"/>
      <c r="B457" s="237"/>
      <c r="C457" s="237"/>
      <c r="D457" s="237"/>
    </row>
    <row r="458" spans="1:4" x14ac:dyDescent="0.25">
      <c r="A458" s="237"/>
      <c r="B458" s="237"/>
      <c r="C458" s="237"/>
      <c r="D458" s="237"/>
    </row>
    <row r="459" spans="1:4" x14ac:dyDescent="0.25">
      <c r="A459" s="237"/>
      <c r="B459" s="237"/>
      <c r="C459" s="237"/>
      <c r="D459" s="237"/>
    </row>
    <row r="460" spans="1:4" x14ac:dyDescent="0.25">
      <c r="A460" s="237"/>
      <c r="B460" s="237"/>
      <c r="C460" s="237"/>
      <c r="D460" s="237"/>
    </row>
    <row r="461" spans="1:4" x14ac:dyDescent="0.25">
      <c r="A461" s="237"/>
      <c r="B461" s="237"/>
      <c r="C461" s="237"/>
      <c r="D461" s="237"/>
    </row>
    <row r="462" spans="1:4" x14ac:dyDescent="0.25">
      <c r="A462" s="237"/>
      <c r="B462" s="237"/>
      <c r="C462" s="237"/>
      <c r="D462" s="237"/>
    </row>
    <row r="463" spans="1:4" x14ac:dyDescent="0.25">
      <c r="A463" s="237"/>
      <c r="B463" s="237"/>
      <c r="C463" s="237"/>
      <c r="D463" s="237"/>
    </row>
    <row r="464" spans="1:4" x14ac:dyDescent="0.25">
      <c r="A464" s="237"/>
      <c r="B464" s="237"/>
      <c r="C464" s="237"/>
      <c r="D464" s="237"/>
    </row>
    <row r="465" spans="1:4" x14ac:dyDescent="0.25">
      <c r="A465" s="237"/>
      <c r="B465" s="237"/>
      <c r="C465" s="237"/>
      <c r="D465" s="237"/>
    </row>
    <row r="466" spans="1:4" x14ac:dyDescent="0.25">
      <c r="A466" s="237"/>
      <c r="B466" s="237"/>
      <c r="C466" s="237"/>
      <c r="D466" s="237"/>
    </row>
    <row r="467" spans="1:4" x14ac:dyDescent="0.25">
      <c r="A467" s="237"/>
      <c r="B467" s="237"/>
      <c r="C467" s="237"/>
      <c r="D467" s="237"/>
    </row>
    <row r="468" spans="1:4" x14ac:dyDescent="0.25">
      <c r="A468" s="237"/>
      <c r="B468" s="237"/>
      <c r="C468" s="237"/>
      <c r="D468" s="237"/>
    </row>
    <row r="469" spans="1:4" x14ac:dyDescent="0.25">
      <c r="A469" s="237"/>
      <c r="B469" s="237"/>
      <c r="C469" s="237"/>
      <c r="D469" s="237"/>
    </row>
    <row r="470" spans="1:4" x14ac:dyDescent="0.25">
      <c r="A470" s="237"/>
      <c r="B470" s="237"/>
      <c r="C470" s="237"/>
      <c r="D470" s="237"/>
    </row>
    <row r="471" spans="1:4" x14ac:dyDescent="0.25">
      <c r="A471" s="237"/>
      <c r="B471" s="237"/>
      <c r="C471" s="237"/>
      <c r="D471" s="237"/>
    </row>
    <row r="472" spans="1:4" x14ac:dyDescent="0.25">
      <c r="A472" s="237"/>
      <c r="B472" s="237"/>
      <c r="C472" s="237"/>
      <c r="D472" s="237"/>
    </row>
    <row r="473" spans="1:4" x14ac:dyDescent="0.25">
      <c r="A473" s="237"/>
      <c r="B473" s="237"/>
      <c r="C473" s="237"/>
      <c r="D473" s="237"/>
    </row>
    <row r="474" spans="1:4" x14ac:dyDescent="0.25">
      <c r="A474" s="237"/>
      <c r="B474" s="237"/>
      <c r="C474" s="237"/>
      <c r="D474" s="237"/>
    </row>
    <row r="475" spans="1:4" x14ac:dyDescent="0.25">
      <c r="A475" s="237"/>
      <c r="B475" s="237"/>
      <c r="C475" s="237"/>
      <c r="D475" s="237"/>
    </row>
    <row r="476" spans="1:4" x14ac:dyDescent="0.25">
      <c r="A476" s="237"/>
      <c r="B476" s="237"/>
      <c r="C476" s="237"/>
      <c r="D476" s="237"/>
    </row>
    <row r="477" spans="1:4" x14ac:dyDescent="0.25">
      <c r="A477" s="237"/>
      <c r="B477" s="237"/>
      <c r="C477" s="237"/>
      <c r="D477" s="237"/>
    </row>
    <row r="478" spans="1:4" x14ac:dyDescent="0.25">
      <c r="A478" s="237"/>
      <c r="B478" s="237"/>
      <c r="C478" s="237"/>
      <c r="D478" s="237"/>
    </row>
    <row r="479" spans="1:4" x14ac:dyDescent="0.25">
      <c r="A479" s="237"/>
      <c r="B479" s="237"/>
      <c r="C479" s="237"/>
      <c r="D479" s="237"/>
    </row>
    <row r="480" spans="1:4" x14ac:dyDescent="0.25">
      <c r="A480" s="237"/>
      <c r="B480" s="237"/>
      <c r="C480" s="237"/>
      <c r="D480" s="237"/>
    </row>
    <row r="481" spans="1:4" x14ac:dyDescent="0.25">
      <c r="A481" s="237"/>
      <c r="B481" s="237"/>
      <c r="C481" s="237"/>
      <c r="D481" s="237"/>
    </row>
    <row r="482" spans="1:4" x14ac:dyDescent="0.25">
      <c r="A482" s="237"/>
      <c r="B482" s="237"/>
      <c r="C482" s="237"/>
      <c r="D482" s="237"/>
    </row>
    <row r="483" spans="1:4" x14ac:dyDescent="0.25">
      <c r="A483" s="237"/>
      <c r="B483" s="237"/>
      <c r="C483" s="237"/>
      <c r="D483" s="237"/>
    </row>
    <row r="484" spans="1:4" x14ac:dyDescent="0.25">
      <c r="A484" s="237"/>
      <c r="B484" s="237"/>
      <c r="C484" s="237"/>
      <c r="D484" s="237"/>
    </row>
    <row r="485" spans="1:4" x14ac:dyDescent="0.25">
      <c r="A485" s="237"/>
      <c r="B485" s="237"/>
      <c r="C485" s="237"/>
      <c r="D485" s="237"/>
    </row>
    <row r="486" spans="1:4" x14ac:dyDescent="0.25">
      <c r="A486" s="237"/>
      <c r="B486" s="237"/>
      <c r="C486" s="237"/>
      <c r="D486" s="237"/>
    </row>
    <row r="487" spans="1:4" x14ac:dyDescent="0.25">
      <c r="A487" s="237"/>
      <c r="B487" s="237"/>
      <c r="C487" s="237"/>
      <c r="D487" s="237"/>
    </row>
    <row r="488" spans="1:4" x14ac:dyDescent="0.25">
      <c r="A488" s="237"/>
      <c r="B488" s="237"/>
      <c r="C488" s="237"/>
      <c r="D488" s="237"/>
    </row>
    <row r="489" spans="1:4" x14ac:dyDescent="0.25">
      <c r="A489" s="237"/>
      <c r="B489" s="237"/>
      <c r="C489" s="237"/>
      <c r="D489" s="237"/>
    </row>
    <row r="490" spans="1:4" x14ac:dyDescent="0.25">
      <c r="A490" s="237"/>
      <c r="B490" s="237"/>
      <c r="C490" s="237"/>
      <c r="D490" s="237"/>
    </row>
  </sheetData>
  <sheetProtection algorithmName="SHA-512" hashValue="r4/SQ+uPpqUM9ijVAAs1xcPc0M8BkXm+mSq/TJlt8Qo7Yt+hsgHiKAVyfIXEJFVHGZ5nS3ZFYXdbgKhCFt5lYA==" saltValue="whmVuzsS/J60fc23LlaZQw==" spinCount="100000" sheet="1" objects="1" scenarios="1"/>
  <conditionalFormatting sqref="A1:A490">
    <cfRule type="duplicateValues" dxfId="5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2278-8C0E-4839-9550-BA8F38D94333}">
  <sheetPr codeName="ورقة2"/>
  <dimension ref="A1:AB74"/>
  <sheetViews>
    <sheetView showGridLines="0" rightToLeft="1" workbookViewId="0">
      <selection activeCell="C9" sqref="C9"/>
    </sheetView>
  </sheetViews>
  <sheetFormatPr defaultColWidth="9" defaultRowHeight="13.8" x14ac:dyDescent="0.25"/>
  <cols>
    <col min="1" max="1" width="13.8984375" bestFit="1" customWidth="1"/>
    <col min="2" max="2" width="22.19921875" customWidth="1"/>
    <col min="3" max="3" width="18.8984375" customWidth="1"/>
    <col min="4" max="4" width="26" customWidth="1"/>
    <col min="5" max="5" width="20.3984375" customWidth="1"/>
    <col min="6" max="6" width="20" customWidth="1"/>
    <col min="7" max="7" width="3.3984375" bestFit="1" customWidth="1"/>
    <col min="8" max="8" width="18.8984375" hidden="1" customWidth="1"/>
    <col min="9" max="9" width="3" hidden="1" customWidth="1"/>
    <col min="10" max="10" width="13.69921875" hidden="1" customWidth="1"/>
    <col min="11" max="11" width="3" hidden="1" customWidth="1"/>
    <col min="12" max="12" width="3.19921875" hidden="1" customWidth="1"/>
    <col min="13" max="13" width="8.296875" hidden="1" customWidth="1"/>
    <col min="14" max="14" width="20" style="141" hidden="1" customWidth="1"/>
    <col min="15" max="15" width="3" style="141" hidden="1" customWidth="1"/>
    <col min="16" max="16" width="13.69921875" hidden="1" customWidth="1"/>
    <col min="17" max="18" width="0" hidden="1" customWidth="1"/>
    <col min="19" max="19" width="2" hidden="1" customWidth="1"/>
    <col min="20" max="20" width="5.09765625" hidden="1" customWidth="1"/>
    <col min="21" max="21" width="2" hidden="1" customWidth="1"/>
    <col min="22" max="22" width="3.3984375" hidden="1" customWidth="1"/>
    <col min="23" max="23" width="2" hidden="1" customWidth="1"/>
    <col min="24" max="24" width="9.69921875" hidden="1" customWidth="1"/>
    <col min="25" max="26" width="0" hidden="1" customWidth="1"/>
    <col min="27" max="27" width="3" hidden="1" customWidth="1"/>
    <col min="28" max="28" width="5" bestFit="1" customWidth="1"/>
  </cols>
  <sheetData>
    <row r="1" spans="1:28" ht="25.8" customHeight="1" x14ac:dyDescent="0.25">
      <c r="A1" s="323" t="s">
        <v>232</v>
      </c>
      <c r="B1" s="323"/>
      <c r="C1" s="237"/>
      <c r="D1" s="166" t="e">
        <f>VLOOKUP(C1,ورقة2!A3:B10869,2,0)</f>
        <v>#N/A</v>
      </c>
    </row>
    <row r="2" spans="1:28" ht="23.4" customHeight="1" x14ac:dyDescent="0.25">
      <c r="A2" s="324" t="e">
        <f>IF('اختيار المقررات'!E2="مستنفذ",'اختيار المقررات'!B6,"يجب أن تقوم يا"&amp;" "&amp;D1&amp;" بملئ الحقول التالية بالمعلومات الصحيحة وإلا لا تعتبر طالب مسجل")</f>
        <v>#N/A</v>
      </c>
      <c r="B2" s="324"/>
      <c r="C2" s="324"/>
      <c r="D2" s="324"/>
      <c r="E2" s="324"/>
      <c r="F2" s="324"/>
    </row>
    <row r="3" spans="1:28" x14ac:dyDescent="0.25">
      <c r="J3" t="s">
        <v>10</v>
      </c>
      <c r="L3" s="322" t="s">
        <v>233</v>
      </c>
      <c r="M3" s="322"/>
      <c r="N3"/>
      <c r="O3" s="322"/>
      <c r="P3" s="322"/>
      <c r="S3" s="322" t="s">
        <v>234</v>
      </c>
      <c r="T3" s="322"/>
      <c r="U3" s="322" t="s">
        <v>11</v>
      </c>
      <c r="V3" s="322"/>
      <c r="X3" t="s">
        <v>9</v>
      </c>
      <c r="AA3" s="141"/>
    </row>
    <row r="4" spans="1:28" ht="23.25" customHeight="1" x14ac:dyDescent="0.25">
      <c r="A4" s="167" t="s">
        <v>88</v>
      </c>
      <c r="B4" s="168" t="s">
        <v>89</v>
      </c>
      <c r="C4" s="168" t="s">
        <v>90</v>
      </c>
      <c r="D4" s="168" t="s">
        <v>91</v>
      </c>
      <c r="E4" s="168" t="s">
        <v>92</v>
      </c>
      <c r="F4" s="168" t="s">
        <v>93</v>
      </c>
      <c r="I4">
        <v>1</v>
      </c>
      <c r="J4" t="s">
        <v>236</v>
      </c>
      <c r="K4">
        <v>1</v>
      </c>
      <c r="L4" s="169" t="s">
        <v>235</v>
      </c>
      <c r="M4" t="s">
        <v>84</v>
      </c>
      <c r="N4"/>
      <c r="S4">
        <v>1</v>
      </c>
      <c r="T4" t="s">
        <v>85</v>
      </c>
      <c r="U4">
        <v>2</v>
      </c>
      <c r="V4" t="s">
        <v>64</v>
      </c>
      <c r="W4">
        <v>1</v>
      </c>
      <c r="X4" t="s">
        <v>237</v>
      </c>
      <c r="AA4" s="141"/>
    </row>
    <row r="5" spans="1:28" s="171" customFormat="1" ht="33.75" customHeight="1" x14ac:dyDescent="0.25">
      <c r="A5" s="43"/>
      <c r="B5" s="43"/>
      <c r="C5" s="170"/>
      <c r="D5" s="43"/>
      <c r="E5" s="43"/>
      <c r="F5" s="43"/>
      <c r="I5">
        <v>2</v>
      </c>
      <c r="J5" t="s">
        <v>239</v>
      </c>
      <c r="K5">
        <v>2</v>
      </c>
      <c r="L5" s="169" t="s">
        <v>238</v>
      </c>
      <c r="M5" t="s">
        <v>94</v>
      </c>
      <c r="N5"/>
      <c r="O5" s="141"/>
      <c r="P5"/>
      <c r="Q5"/>
      <c r="R5"/>
      <c r="S5">
        <v>2</v>
      </c>
      <c r="T5" t="s">
        <v>87</v>
      </c>
      <c r="U5">
        <v>1</v>
      </c>
      <c r="V5" t="s">
        <v>65</v>
      </c>
      <c r="W5">
        <v>2</v>
      </c>
      <c r="X5" t="s">
        <v>240</v>
      </c>
      <c r="Y5"/>
      <c r="AA5" s="141"/>
      <c r="AB5"/>
    </row>
    <row r="6" spans="1:28" ht="23.25" customHeight="1" x14ac:dyDescent="0.25">
      <c r="A6" s="168" t="s">
        <v>52</v>
      </c>
      <c r="B6" s="167"/>
      <c r="C6" s="168" t="s">
        <v>81</v>
      </c>
      <c r="D6" s="172" t="s">
        <v>242</v>
      </c>
      <c r="E6" s="172" t="s">
        <v>55</v>
      </c>
      <c r="F6" s="167" t="s">
        <v>54</v>
      </c>
      <c r="I6">
        <v>3</v>
      </c>
      <c r="J6" t="s">
        <v>307</v>
      </c>
      <c r="K6">
        <v>3</v>
      </c>
      <c r="L6" s="169" t="s">
        <v>241</v>
      </c>
      <c r="M6" t="s">
        <v>86</v>
      </c>
      <c r="N6"/>
      <c r="S6">
        <v>3</v>
      </c>
      <c r="T6" t="s">
        <v>195</v>
      </c>
      <c r="W6">
        <v>3</v>
      </c>
      <c r="X6" t="s">
        <v>252</v>
      </c>
      <c r="AA6" s="141"/>
    </row>
    <row r="7" spans="1:28" ht="33.75" customHeight="1" x14ac:dyDescent="0.25">
      <c r="A7" s="48"/>
      <c r="B7" s="43"/>
      <c r="C7" s="43"/>
      <c r="D7" s="48"/>
      <c r="E7" s="48"/>
      <c r="F7" s="43"/>
      <c r="I7">
        <v>4</v>
      </c>
      <c r="J7" t="s">
        <v>246</v>
      </c>
      <c r="K7">
        <v>4</v>
      </c>
      <c r="L7" s="169" t="s">
        <v>245</v>
      </c>
      <c r="M7" t="s">
        <v>95</v>
      </c>
      <c r="N7"/>
      <c r="S7" s="141"/>
      <c r="W7">
        <v>4</v>
      </c>
      <c r="X7" t="s">
        <v>254</v>
      </c>
      <c r="AA7" s="141"/>
    </row>
    <row r="8" spans="1:28" ht="23.25" customHeight="1" x14ac:dyDescent="0.25">
      <c r="A8" s="168" t="s">
        <v>53</v>
      </c>
      <c r="B8" s="168" t="s">
        <v>249</v>
      </c>
      <c r="C8" s="168" t="s">
        <v>250</v>
      </c>
      <c r="D8" s="168" t="s">
        <v>63</v>
      </c>
      <c r="I8">
        <v>5</v>
      </c>
      <c r="J8" t="s">
        <v>251</v>
      </c>
      <c r="K8">
        <v>5</v>
      </c>
      <c r="L8" s="169" t="s">
        <v>248</v>
      </c>
      <c r="M8" t="s">
        <v>96</v>
      </c>
      <c r="N8"/>
      <c r="S8" s="141"/>
      <c r="W8">
        <v>5</v>
      </c>
      <c r="X8" t="s">
        <v>244</v>
      </c>
      <c r="AA8" s="141"/>
    </row>
    <row r="9" spans="1:28" ht="33.75" customHeight="1" x14ac:dyDescent="0.25">
      <c r="A9" s="43"/>
      <c r="B9" s="43"/>
      <c r="C9" s="43"/>
      <c r="D9" s="43"/>
      <c r="I9">
        <v>6</v>
      </c>
      <c r="J9" t="s">
        <v>253</v>
      </c>
      <c r="K9">
        <v>6</v>
      </c>
      <c r="L9" s="169" t="s">
        <v>243</v>
      </c>
      <c r="M9" t="s">
        <v>97</v>
      </c>
      <c r="N9"/>
      <c r="W9">
        <v>6</v>
      </c>
      <c r="X9" t="s">
        <v>247</v>
      </c>
      <c r="AA9" s="141"/>
    </row>
    <row r="10" spans="1:28" ht="23.25" customHeight="1" x14ac:dyDescent="0.25">
      <c r="A10" s="168" t="s">
        <v>51</v>
      </c>
      <c r="B10" s="168" t="s">
        <v>6</v>
      </c>
      <c r="C10" s="168" t="s">
        <v>10</v>
      </c>
      <c r="D10" s="168" t="s">
        <v>11</v>
      </c>
      <c r="I10">
        <v>7</v>
      </c>
      <c r="J10" t="s">
        <v>256</v>
      </c>
      <c r="K10">
        <v>7</v>
      </c>
      <c r="L10" s="169" t="s">
        <v>255</v>
      </c>
      <c r="M10" t="s">
        <v>99</v>
      </c>
      <c r="N10"/>
      <c r="W10">
        <v>7</v>
      </c>
      <c r="X10" t="s">
        <v>257</v>
      </c>
      <c r="AA10" s="141"/>
    </row>
    <row r="11" spans="1:28" ht="33.75" customHeight="1" x14ac:dyDescent="0.25">
      <c r="A11" s="243"/>
      <c r="B11" s="43"/>
      <c r="C11" s="43"/>
      <c r="D11" s="43"/>
      <c r="I11">
        <v>8</v>
      </c>
      <c r="J11" t="s">
        <v>259</v>
      </c>
      <c r="K11">
        <v>8</v>
      </c>
      <c r="L11" s="169" t="s">
        <v>258</v>
      </c>
      <c r="M11" t="s">
        <v>103</v>
      </c>
      <c r="N11"/>
      <c r="W11">
        <v>8</v>
      </c>
      <c r="X11" t="s">
        <v>260</v>
      </c>
      <c r="AA11" s="141"/>
    </row>
    <row r="12" spans="1:28" ht="23.25" customHeight="1" x14ac:dyDescent="0.25">
      <c r="A12" s="168" t="s">
        <v>49</v>
      </c>
      <c r="B12" s="168" t="s">
        <v>41</v>
      </c>
      <c r="I12">
        <v>9</v>
      </c>
      <c r="J12" t="s">
        <v>308</v>
      </c>
      <c r="K12">
        <v>9</v>
      </c>
      <c r="L12" s="169" t="s">
        <v>261</v>
      </c>
      <c r="M12" t="s">
        <v>104</v>
      </c>
      <c r="N12"/>
      <c r="O12"/>
      <c r="W12">
        <v>9</v>
      </c>
      <c r="X12" t="s">
        <v>298</v>
      </c>
      <c r="AA12" s="141"/>
    </row>
    <row r="13" spans="1:28" ht="33.75" customHeight="1" x14ac:dyDescent="0.25">
      <c r="A13" s="247"/>
      <c r="B13" s="248"/>
      <c r="I13">
        <v>10</v>
      </c>
      <c r="J13" t="s">
        <v>309</v>
      </c>
      <c r="K13">
        <v>10</v>
      </c>
      <c r="L13" s="169" t="s">
        <v>262</v>
      </c>
      <c r="M13" t="s">
        <v>98</v>
      </c>
      <c r="N13"/>
      <c r="O13"/>
      <c r="AA13" s="141"/>
    </row>
    <row r="14" spans="1:28" x14ac:dyDescent="0.25">
      <c r="I14">
        <v>11</v>
      </c>
      <c r="J14" t="s">
        <v>310</v>
      </c>
      <c r="K14">
        <v>11</v>
      </c>
      <c r="L14" s="169" t="s">
        <v>263</v>
      </c>
      <c r="M14" t="s">
        <v>105</v>
      </c>
      <c r="N14"/>
      <c r="O14"/>
      <c r="AA14" s="141"/>
    </row>
    <row r="15" spans="1:28" x14ac:dyDescent="0.25">
      <c r="I15">
        <v>12</v>
      </c>
      <c r="J15" t="s">
        <v>311</v>
      </c>
      <c r="K15">
        <v>12</v>
      </c>
      <c r="L15" s="169" t="s">
        <v>264</v>
      </c>
      <c r="M15" t="s">
        <v>102</v>
      </c>
      <c r="N15"/>
      <c r="O15"/>
      <c r="AA15" s="141"/>
    </row>
    <row r="16" spans="1:28" x14ac:dyDescent="0.25">
      <c r="I16">
        <v>13</v>
      </c>
      <c r="J16" t="s">
        <v>312</v>
      </c>
      <c r="K16">
        <v>13</v>
      </c>
      <c r="L16" s="169" t="s">
        <v>265</v>
      </c>
      <c r="M16" t="s">
        <v>100</v>
      </c>
      <c r="N16"/>
      <c r="O16"/>
      <c r="AA16" s="141"/>
    </row>
    <row r="17" spans="7:27" x14ac:dyDescent="0.25">
      <c r="I17">
        <v>14</v>
      </c>
      <c r="J17" t="s">
        <v>313</v>
      </c>
      <c r="K17">
        <v>14</v>
      </c>
      <c r="L17" s="169" t="s">
        <v>266</v>
      </c>
      <c r="M17" t="s">
        <v>101</v>
      </c>
      <c r="N17"/>
      <c r="O17"/>
      <c r="AA17" s="141"/>
    </row>
    <row r="18" spans="7:27" x14ac:dyDescent="0.25">
      <c r="I18">
        <v>15</v>
      </c>
      <c r="J18" t="s">
        <v>314</v>
      </c>
      <c r="K18">
        <v>15</v>
      </c>
      <c r="L18" s="169" t="s">
        <v>267</v>
      </c>
      <c r="M18" t="s">
        <v>268</v>
      </c>
      <c r="AA18" s="141"/>
    </row>
    <row r="19" spans="7:27" x14ac:dyDescent="0.25">
      <c r="I19">
        <v>16</v>
      </c>
      <c r="J19" t="s">
        <v>315</v>
      </c>
      <c r="K19">
        <v>16</v>
      </c>
      <c r="L19" s="169" t="s">
        <v>269</v>
      </c>
      <c r="M19" t="s">
        <v>270</v>
      </c>
      <c r="AA19" s="141"/>
    </row>
    <row r="20" spans="7:27" x14ac:dyDescent="0.25">
      <c r="I20">
        <v>17</v>
      </c>
      <c r="J20" t="s">
        <v>316</v>
      </c>
      <c r="K20">
        <v>17</v>
      </c>
      <c r="AA20" s="141"/>
    </row>
    <row r="21" spans="7:27" x14ac:dyDescent="0.25">
      <c r="G21" s="173" t="s">
        <v>64</v>
      </c>
      <c r="AA21" s="141"/>
    </row>
    <row r="22" spans="7:27" x14ac:dyDescent="0.25">
      <c r="G22" s="173" t="s">
        <v>65</v>
      </c>
      <c r="AA22" s="141"/>
    </row>
    <row r="23" spans="7:27" x14ac:dyDescent="0.25">
      <c r="AA23" s="141"/>
    </row>
    <row r="24" spans="7:27" x14ac:dyDescent="0.25">
      <c r="AA24" s="141"/>
    </row>
    <row r="25" spans="7:27" x14ac:dyDescent="0.25">
      <c r="AA25" s="141"/>
    </row>
    <row r="26" spans="7:27" x14ac:dyDescent="0.25">
      <c r="AA26" s="141"/>
    </row>
    <row r="27" spans="7:27" x14ac:dyDescent="0.25">
      <c r="AA27" s="141"/>
    </row>
    <row r="28" spans="7:27" x14ac:dyDescent="0.25">
      <c r="AA28" s="141"/>
    </row>
    <row r="29" spans="7:27" x14ac:dyDescent="0.25">
      <c r="AA29" s="141"/>
    </row>
    <row r="30" spans="7:27" x14ac:dyDescent="0.25">
      <c r="AA30" s="141"/>
    </row>
    <row r="31" spans="7:27" x14ac:dyDescent="0.25">
      <c r="AA31" s="141"/>
    </row>
    <row r="32" spans="7:27" x14ac:dyDescent="0.25">
      <c r="AA32" s="141"/>
    </row>
    <row r="33" spans="27:27" x14ac:dyDescent="0.25">
      <c r="AA33" s="141"/>
    </row>
    <row r="34" spans="27:27" x14ac:dyDescent="0.25">
      <c r="AA34" s="141"/>
    </row>
    <row r="35" spans="27:27" x14ac:dyDescent="0.25">
      <c r="AA35" s="141"/>
    </row>
    <row r="36" spans="27:27" x14ac:dyDescent="0.25">
      <c r="AA36" s="141"/>
    </row>
    <row r="37" spans="27:27" x14ac:dyDescent="0.25">
      <c r="AA37" s="141"/>
    </row>
    <row r="38" spans="27:27" x14ac:dyDescent="0.25">
      <c r="AA38" s="141"/>
    </row>
    <row r="39" spans="27:27" x14ac:dyDescent="0.25">
      <c r="AA39" s="141"/>
    </row>
    <row r="40" spans="27:27" x14ac:dyDescent="0.25">
      <c r="AA40" s="141"/>
    </row>
    <row r="41" spans="27:27" x14ac:dyDescent="0.25">
      <c r="AA41" s="141"/>
    </row>
    <row r="42" spans="27:27" x14ac:dyDescent="0.25">
      <c r="AA42" s="141"/>
    </row>
    <row r="43" spans="27:27" x14ac:dyDescent="0.25">
      <c r="AA43" s="141"/>
    </row>
    <row r="44" spans="27:27" x14ac:dyDescent="0.25">
      <c r="AA44" s="141"/>
    </row>
    <row r="45" spans="27:27" x14ac:dyDescent="0.25">
      <c r="AA45" s="141"/>
    </row>
    <row r="46" spans="27:27" x14ac:dyDescent="0.25">
      <c r="AA46" s="141"/>
    </row>
    <row r="47" spans="27:27" x14ac:dyDescent="0.25">
      <c r="AA47" s="141"/>
    </row>
    <row r="48" spans="27:27" x14ac:dyDescent="0.25">
      <c r="AA48" s="141"/>
    </row>
    <row r="49" spans="27:27" x14ac:dyDescent="0.25">
      <c r="AA49" s="141"/>
    </row>
    <row r="50" spans="27:27" x14ac:dyDescent="0.25">
      <c r="AA50" s="141"/>
    </row>
    <row r="51" spans="27:27" x14ac:dyDescent="0.25">
      <c r="AA51" s="141"/>
    </row>
    <row r="52" spans="27:27" x14ac:dyDescent="0.25">
      <c r="AA52" s="141"/>
    </row>
    <row r="53" spans="27:27" x14ac:dyDescent="0.25">
      <c r="AA53" s="141"/>
    </row>
    <row r="54" spans="27:27" x14ac:dyDescent="0.25">
      <c r="AA54" s="141"/>
    </row>
    <row r="55" spans="27:27" x14ac:dyDescent="0.25">
      <c r="AA55" s="141"/>
    </row>
    <row r="56" spans="27:27" x14ac:dyDescent="0.25">
      <c r="AA56" s="141"/>
    </row>
    <row r="57" spans="27:27" x14ac:dyDescent="0.25">
      <c r="AA57" s="141"/>
    </row>
    <row r="58" spans="27:27" x14ac:dyDescent="0.25">
      <c r="AA58" s="141"/>
    </row>
    <row r="59" spans="27:27" x14ac:dyDescent="0.25">
      <c r="AA59" s="141"/>
    </row>
    <row r="60" spans="27:27" x14ac:dyDescent="0.25">
      <c r="AA60" s="141"/>
    </row>
    <row r="61" spans="27:27" x14ac:dyDescent="0.25">
      <c r="AA61" s="141"/>
    </row>
    <row r="62" spans="27:27" x14ac:dyDescent="0.25">
      <c r="AA62" s="141"/>
    </row>
    <row r="63" spans="27:27" x14ac:dyDescent="0.25">
      <c r="AA63" s="141"/>
    </row>
    <row r="64" spans="27:27" x14ac:dyDescent="0.25">
      <c r="AA64" s="141"/>
    </row>
    <row r="65" spans="27:27" x14ac:dyDescent="0.25">
      <c r="AA65" s="141"/>
    </row>
    <row r="66" spans="27:27" x14ac:dyDescent="0.25">
      <c r="AA66" s="141"/>
    </row>
    <row r="67" spans="27:27" x14ac:dyDescent="0.25">
      <c r="AA67" s="141"/>
    </row>
    <row r="68" spans="27:27" x14ac:dyDescent="0.25">
      <c r="AA68" s="141"/>
    </row>
    <row r="69" spans="27:27" x14ac:dyDescent="0.25">
      <c r="AA69" s="141"/>
    </row>
    <row r="70" spans="27:27" x14ac:dyDescent="0.25">
      <c r="AA70" s="141"/>
    </row>
    <row r="71" spans="27:27" x14ac:dyDescent="0.25">
      <c r="AA71" s="141"/>
    </row>
    <row r="72" spans="27:27" x14ac:dyDescent="0.25">
      <c r="AA72" s="141"/>
    </row>
    <row r="73" spans="27:27" x14ac:dyDescent="0.25">
      <c r="AA73" s="141"/>
    </row>
    <row r="74" spans="27:27" x14ac:dyDescent="0.25">
      <c r="AA74" s="141"/>
    </row>
  </sheetData>
  <protectedRanges>
    <protectedRange sqref="C1" name="نطاق1"/>
  </protectedRanges>
  <mergeCells count="6">
    <mergeCell ref="U3:V3"/>
    <mergeCell ref="A1:B1"/>
    <mergeCell ref="A2:F2"/>
    <mergeCell ref="L3:M3"/>
    <mergeCell ref="O3:P3"/>
    <mergeCell ref="S3:T3"/>
  </mergeCells>
  <conditionalFormatting sqref="J4:J20">
    <cfRule type="duplicateValues" dxfId="48" priority="37"/>
  </conditionalFormatting>
  <conditionalFormatting sqref="C1">
    <cfRule type="duplicateValues" dxfId="0" priority="1"/>
  </conditionalFormatting>
  <dataValidations count="13">
    <dataValidation type="list" allowBlank="1" showInputMessage="1" showErrorMessage="1" sqref="A9" xr:uid="{56EE259E-2989-4E4E-997F-F9716DEDE96B}">
      <formula1>$T$4:$T$6</formula1>
    </dataValidation>
    <dataValidation type="list" allowBlank="1" showInputMessage="1" showErrorMessage="1" sqref="C9" xr:uid="{B6197FB0-6D1D-4C98-A68A-7D3332F5872D}">
      <formula1>$M$4:$M$18</formula1>
    </dataValidation>
    <dataValidation type="list" allowBlank="1" showInputMessage="1" showErrorMessage="1" sqref="C11" xr:uid="{6F10B291-E639-4860-8859-2D93DA54DD87}">
      <formula1>$J$4:$J$20</formula1>
    </dataValidation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46399785-2E50-4F72-9609-DF06A93B6432}">
      <formula1>AND(OR(LEFT(A7,1)="0",LEFT(A7,1)="1",LEFT(A7,1)="9"),LEFT(A7,2)&lt;&gt;"00",LEN(A7)=11)</formula1>
    </dataValidation>
    <dataValidation type="list" allowBlank="1" showInputMessage="1" showErrorMessage="1" sqref="D11" xr:uid="{4B8C8717-8E4A-44C2-96FF-D81B97C88D72}">
      <formula1>$V$4:$V$5</formula1>
    </dataValidation>
    <dataValidation type="custom" allowBlank="1" showInputMessage="1" showErrorMessage="1" errorTitle="خطأ" error="رقم الهاتف غير صحيح_x000a_يجب كتابة نداء المحافظة ثم رقم الهاتف_x000a_" sqref="D7:E7" xr:uid="{1AA6C08E-63BD-4918-9846-A72EB454F1AC}">
      <formula1>AND(LEFT(D7,1)="0",AND(LEN(D7)&gt;8,LEN(D7)&lt;12))</formula1>
    </dataValidation>
    <dataValidation type="date" allowBlank="1" showInputMessage="1" showErrorMessage="1" promptTitle="يجب أن يكون التاريخ " prompt="يوم / شهر / سنة" sqref="A11" xr:uid="{0413BFCB-212F-4257-8268-B2D29C546478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6DECC357-35E6-497D-B80D-7EF23C0B5C8B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A03DA80-382E-4076-A008-280A7598F0AB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A33FBF05-5FEF-47C4-86FA-2384E6E9F2F2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D82DA38A-87A2-4C83-903F-9975BAD8E156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E09C7C72-1262-4DAD-A65A-FCADA2F74BA3}"/>
    <dataValidation type="whole" allowBlank="1" showInputMessage="1" showErrorMessage="1" sqref="B9" xr:uid="{EE311C7E-B6F3-439E-9B84-9E8D0D2DC57B}">
      <formula1>1950</formula1>
      <formula2>2021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ED80FC84-9779-460E-BBEA-AAF04AA31D19}">
            <xm:f>'اختيار المقررات'!$E$2="مستنفذ"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A2:F2</xm:sqref>
        </x14:conditionalFormatting>
        <x14:conditionalFormatting xmlns:xm="http://schemas.microsoft.com/office/excel/2006/main">
          <x14:cfRule type="expression" priority="24" id="{4DF20EE6-7465-4FE0-A2FA-D4E04882D038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A3:F12 C13:F13 A14:F14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58"/>
  <sheetViews>
    <sheetView rightToLeft="1" topLeftCell="C1" workbookViewId="0">
      <selection activeCell="F5" sqref="F5:N5"/>
    </sheetView>
  </sheetViews>
  <sheetFormatPr defaultColWidth="0" defaultRowHeight="13.8" x14ac:dyDescent="0.25"/>
  <cols>
    <col min="1" max="1" width="4.796875" style="1" hidden="1" customWidth="1"/>
    <col min="2" max="2" width="3.296875" style="1" hidden="1" customWidth="1"/>
    <col min="3" max="3" width="4.296875" style="1" customWidth="1"/>
    <col min="4" max="4" width="9.69921875" style="1" customWidth="1"/>
    <col min="5" max="5" width="5" style="1" customWidth="1"/>
    <col min="6" max="6" width="3.296875" style="1" customWidth="1"/>
    <col min="7" max="7" width="4.296875" style="1" customWidth="1"/>
    <col min="8" max="9" width="4.8984375" style="1" customWidth="1"/>
    <col min="10" max="10" width="5.19921875" style="1" bestFit="1" customWidth="1"/>
    <col min="11" max="11" width="6.59765625" style="1" hidden="1" customWidth="1"/>
    <col min="12" max="12" width="4.296875" style="1" customWidth="1"/>
    <col min="13" max="13" width="9.296875" style="1" customWidth="1"/>
    <col min="14" max="14" width="6.296875" style="1" customWidth="1"/>
    <col min="15" max="15" width="7.296875" style="1" customWidth="1"/>
    <col min="16" max="17" width="4.8984375" style="1" customWidth="1"/>
    <col min="18" max="18" width="5.19921875" style="1" bestFit="1" customWidth="1"/>
    <col min="19" max="19" width="6" style="1" hidden="1" customWidth="1"/>
    <col min="20" max="20" width="8.296875" style="1" bestFit="1" customWidth="1"/>
    <col min="21" max="21" width="5.296875" style="1" customWidth="1"/>
    <col min="22" max="22" width="5.3984375" style="1" customWidth="1"/>
    <col min="23" max="23" width="17.3984375" style="1" customWidth="1"/>
    <col min="24" max="25" width="4.8984375" style="1" customWidth="1"/>
    <col min="26" max="26" width="5.19921875" style="1" bestFit="1" customWidth="1"/>
    <col min="27" max="27" width="6.59765625" style="1" hidden="1" customWidth="1"/>
    <col min="28" max="28" width="4.8984375" style="1" bestFit="1" customWidth="1"/>
    <col min="29" max="29" width="10" style="1" customWidth="1"/>
    <col min="30" max="30" width="10.09765625" style="1" customWidth="1"/>
    <col min="31" max="31" width="5.796875" style="1" customWidth="1"/>
    <col min="32" max="33" width="4.8984375" style="1" customWidth="1"/>
    <col min="34" max="34" width="9" style="1" customWidth="1"/>
    <col min="35" max="35" width="3.8984375" style="1" customWidth="1"/>
    <col min="36" max="36" width="10.19921875" style="1" customWidth="1"/>
    <col min="37" max="37" width="2.09765625" style="1" bestFit="1" customWidth="1"/>
    <col min="38" max="38" width="5.3984375" style="1" customWidth="1"/>
    <col min="39" max="39" width="3" style="1" bestFit="1" customWidth="1"/>
    <col min="40" max="40" width="11.19921875" style="1" hidden="1" customWidth="1"/>
    <col min="41" max="41" width="57.09765625" style="1" bestFit="1" customWidth="1"/>
    <col min="42" max="45" width="9" style="1" hidden="1" customWidth="1"/>
    <col min="46" max="46" width="8.3984375" style="1" hidden="1" customWidth="1"/>
    <col min="47" max="47" width="3" bestFit="1" customWidth="1"/>
    <col min="48" max="48" width="4" bestFit="1" customWidth="1"/>
    <col min="49" max="49" width="40.8984375" bestFit="1" customWidth="1"/>
    <col min="50" max="50" width="2" bestFit="1" customWidth="1"/>
    <col min="51" max="51" width="2.19921875" bestFit="1" customWidth="1"/>
    <col min="52" max="54" width="9" hidden="1" customWidth="1"/>
    <col min="55" max="55" width="3.296875" bestFit="1" customWidth="1"/>
    <col min="56" max="57" width="9" hidden="1" customWidth="1"/>
    <col min="58" max="58" width="19.19921875" bestFit="1" customWidth="1"/>
    <col min="59" max="59" width="4" bestFit="1" customWidth="1"/>
    <col min="60" max="80" width="9" hidden="1" customWidth="1"/>
    <col min="81" max="16384" width="9" style="1" hidden="1"/>
  </cols>
  <sheetData>
    <row r="1" spans="1:80" s="78" customFormat="1" ht="21" customHeight="1" thickBot="1" x14ac:dyDescent="0.3">
      <c r="B1" s="211"/>
      <c r="C1" s="373" t="s">
        <v>2</v>
      </c>
      <c r="D1" s="373"/>
      <c r="E1" s="380">
        <f>'إدخال البيانات'!C1</f>
        <v>0</v>
      </c>
      <c r="F1" s="381"/>
      <c r="G1" s="381"/>
      <c r="H1" s="373" t="s">
        <v>3</v>
      </c>
      <c r="I1" s="373"/>
      <c r="J1" s="373"/>
      <c r="K1" s="153"/>
      <c r="L1" s="382" t="str">
        <f>IFERROR(VLOOKUP($E$1,ورقة2!$A$3:$U$10869,2,0),"")</f>
        <v/>
      </c>
      <c r="M1" s="382"/>
      <c r="N1" s="382"/>
      <c r="O1" s="375" t="s">
        <v>4</v>
      </c>
      <c r="P1" s="375"/>
      <c r="Q1" s="376" t="str">
        <f>IFERROR(IF('إدخال البيانات'!A13&lt;&gt;"",'إدخال البيانات'!A13,VLOOKUP($E$1,ورقة2!$A$3:$U$10869,3,0)),"")</f>
        <v/>
      </c>
      <c r="R1" s="376"/>
      <c r="S1" s="376"/>
      <c r="T1" s="376"/>
      <c r="U1" s="375" t="s">
        <v>5</v>
      </c>
      <c r="V1" s="375"/>
      <c r="W1" s="154" t="str">
        <f>IFERROR(IF('إدخال البيانات'!B13&lt;&gt;"",'إدخال البيانات'!B13,VLOOKUP($E$1,ورقة2!A3:V9887,4,0)),"")</f>
        <v/>
      </c>
      <c r="X1" s="375" t="s">
        <v>51</v>
      </c>
      <c r="Y1" s="375"/>
      <c r="Z1" s="375"/>
      <c r="AA1" s="155"/>
      <c r="AB1" s="378" t="str">
        <f>IFERROR(IF('إدخال البيانات'!A11&lt;&gt;"",'إدخال البيانات'!A11,VLOOKUP($E$1,ورقة2!A3:U9887,6,0)),"")</f>
        <v/>
      </c>
      <c r="AC1" s="378"/>
      <c r="AD1" s="156" t="s">
        <v>6</v>
      </c>
      <c r="AE1" s="376" t="str">
        <f>IFERROR(IF('إدخال البيانات'!B11&lt;&gt;"",'إدخال البيانات'!B11,VLOOKUP($E$1,ورقة2!A3:V9887,7,0)),"")</f>
        <v/>
      </c>
      <c r="AF1" s="376"/>
      <c r="AG1" s="376"/>
      <c r="AH1" s="393"/>
      <c r="AI1" s="393"/>
      <c r="AJ1" s="225"/>
      <c r="AK1" s="116">
        <f>الإستمارة!AJ1</f>
        <v>17</v>
      </c>
      <c r="AL1" s="119"/>
      <c r="AO1" s="78" t="s">
        <v>68</v>
      </c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</row>
    <row r="2" spans="1:80" s="64" customFormat="1" ht="21" customHeight="1" thickTop="1" x14ac:dyDescent="0.25">
      <c r="B2" s="211"/>
      <c r="C2" s="373" t="s">
        <v>9</v>
      </c>
      <c r="D2" s="373"/>
      <c r="E2" s="377" t="e">
        <f>VLOOKUP($E$1,ورقة2!A3:V9887,9,0)</f>
        <v>#N/A</v>
      </c>
      <c r="F2" s="377"/>
      <c r="G2" s="377"/>
      <c r="H2" s="376">
        <f>'إدخال البيانات'!F5</f>
        <v>0</v>
      </c>
      <c r="I2" s="376"/>
      <c r="J2" s="376"/>
      <c r="K2" s="376"/>
      <c r="L2" s="376"/>
      <c r="M2" s="376"/>
      <c r="N2" s="376"/>
      <c r="O2" s="375" t="s">
        <v>77</v>
      </c>
      <c r="P2" s="375"/>
      <c r="Q2" s="376">
        <f>'إدخال البيانات'!E5</f>
        <v>0</v>
      </c>
      <c r="R2" s="376"/>
      <c r="S2" s="376"/>
      <c r="T2" s="376"/>
      <c r="U2" s="375" t="s">
        <v>78</v>
      </c>
      <c r="V2" s="375"/>
      <c r="W2" s="154">
        <f>'إدخال البيانات'!D5</f>
        <v>0</v>
      </c>
      <c r="X2" s="375" t="s">
        <v>79</v>
      </c>
      <c r="Y2" s="375"/>
      <c r="Z2" s="375"/>
      <c r="AA2" s="157"/>
      <c r="AB2" s="378">
        <f>'إدخال البيانات'!C5</f>
        <v>0</v>
      </c>
      <c r="AC2" s="378"/>
      <c r="AD2" s="156" t="s">
        <v>80</v>
      </c>
      <c r="AE2" s="396"/>
      <c r="AF2" s="396"/>
      <c r="AG2" s="396"/>
      <c r="AH2" s="393"/>
      <c r="AI2" s="393"/>
      <c r="AJ2" s="225"/>
      <c r="AK2" s="116"/>
      <c r="AO2" s="64" t="s">
        <v>69</v>
      </c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s="64" customFormat="1" ht="21" customHeight="1" x14ac:dyDescent="0.25">
      <c r="B3" s="373" t="s">
        <v>11</v>
      </c>
      <c r="C3" s="373"/>
      <c r="D3" s="373"/>
      <c r="E3" s="374" t="str">
        <f>IFERROR(IF('إدخال البيانات'!D11&lt;&gt;"",'إدخال البيانات'!D11,VLOOKUP(VLOOKUP($E$1,ورقة2!A3:V9887,5,0),'إدخال البيانات'!U4:V5,2,0)),"")</f>
        <v/>
      </c>
      <c r="F3" s="374"/>
      <c r="G3" s="374"/>
      <c r="H3" s="373" t="s">
        <v>10</v>
      </c>
      <c r="I3" s="373"/>
      <c r="J3" s="373"/>
      <c r="K3" s="158"/>
      <c r="L3" s="376" t="str">
        <f>IFERROR(IF(VLOOKUP($E$1,ورقة2!A3:V9887,8,0)=0,'إدخال البيانات'!C11,VLOOKUP(VLOOKUP($E$1,ورقة2!A3:V9887,8,0),'إدخال البيانات'!I4:J11,2,0)),"")</f>
        <v/>
      </c>
      <c r="M3" s="376"/>
      <c r="N3" s="376"/>
      <c r="O3" s="375" t="s">
        <v>52</v>
      </c>
      <c r="P3" s="375"/>
      <c r="Q3" s="376">
        <f>IF(OR(L3='إدخال البيانات'!J4,'اختيار المقررات'!L3='إدخال البيانات'!J5),'إدخال البيانات'!A7,'إدخال البيانات'!B7)</f>
        <v>0</v>
      </c>
      <c r="R3" s="376"/>
      <c r="S3" s="376"/>
      <c r="T3" s="376"/>
      <c r="U3" s="375" t="s">
        <v>16</v>
      </c>
      <c r="V3" s="375"/>
      <c r="W3" s="159" t="str">
        <f>IFERROR(IF(L3&lt;&gt;'إدخال البيانات'!J4,'إدخال البيانات'!M19,VLOOKUP(LEFT('إدخال البيانات'!A7,2),'إدخال البيانات'!L4:M19,2,0)),"")</f>
        <v>غير سوري</v>
      </c>
      <c r="X3" s="375" t="s">
        <v>81</v>
      </c>
      <c r="Y3" s="375"/>
      <c r="Z3" s="375"/>
      <c r="AA3" s="160"/>
      <c r="AB3" s="379" t="str">
        <f>IF(L3&lt;&gt;'إدخال البيانات'!J4,"غير سوري",'إدخال البيانات'!C7)</f>
        <v>غير سوري</v>
      </c>
      <c r="AC3" s="379"/>
      <c r="AD3" s="156" t="s">
        <v>63</v>
      </c>
      <c r="AE3" s="374" t="str">
        <f>IF(AND(OR(L3="العربية السورية",L3="الفلسطينية السورية"),E3="ذكر"),'إدخال البيانات'!D9,"لايوجد")</f>
        <v>لايوجد</v>
      </c>
      <c r="AF3" s="374"/>
      <c r="AG3" s="374"/>
      <c r="AH3" s="394"/>
      <c r="AI3" s="394"/>
      <c r="AJ3" s="225"/>
      <c r="AK3" s="116"/>
      <c r="AL3" s="119"/>
      <c r="AO3" s="64" t="s">
        <v>45</v>
      </c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 s="64" customFormat="1" ht="21" customHeight="1" thickBot="1" x14ac:dyDescent="0.3">
      <c r="B4" s="211"/>
      <c r="C4" s="373" t="s">
        <v>12</v>
      </c>
      <c r="D4" s="373"/>
      <c r="E4" s="374" t="str">
        <f>IFERROR(IF('إدخال البيانات'!A9&lt;&gt;"",'إدخال البيانات'!A9,VLOOKUP(VLOOKUP($E$1,ورقة2!A3:V9887,10,0),'إدخال البيانات'!S4:T9,2,0)),"")</f>
        <v/>
      </c>
      <c r="F4" s="374"/>
      <c r="G4" s="374"/>
      <c r="H4" s="373" t="s">
        <v>13</v>
      </c>
      <c r="I4" s="373"/>
      <c r="J4" s="373"/>
      <c r="K4" s="161"/>
      <c r="L4" s="376" t="str">
        <f>IFERROR(IF('إدخال البيانات'!B9&lt;&gt;"",'إدخال البيانات'!B9,VLOOKUP(VLOOKUP($E$1,ورقة2!A3:V9887,11,0),'إدخال البيانات'!AA3:AB74,2,0)),"")</f>
        <v/>
      </c>
      <c r="M4" s="376"/>
      <c r="N4" s="376"/>
      <c r="O4" s="375" t="s">
        <v>14</v>
      </c>
      <c r="P4" s="375"/>
      <c r="Q4" s="376" t="str">
        <f>IFERROR(IF('إدخال البيانات'!C9&lt;&gt;"",'إدخال البيانات'!C9,VLOOKUP(VLOOKUP($E$1,ورقة2!A3:V9887,12,0),'إدخال البيانات'!L4:M19,2,0)),"")</f>
        <v/>
      </c>
      <c r="R4" s="376"/>
      <c r="S4" s="376"/>
      <c r="T4" s="376"/>
      <c r="U4" s="375" t="s">
        <v>61</v>
      </c>
      <c r="V4" s="375"/>
      <c r="W4" s="162">
        <f>'إدخال البيانات'!E7</f>
        <v>0</v>
      </c>
      <c r="X4" s="375" t="s">
        <v>62</v>
      </c>
      <c r="Y4" s="375"/>
      <c r="Z4" s="375"/>
      <c r="AA4" s="160"/>
      <c r="AB4" s="395">
        <f>'إدخال البيانات'!D7</f>
        <v>0</v>
      </c>
      <c r="AC4" s="395"/>
      <c r="AD4" s="156" t="s">
        <v>54</v>
      </c>
      <c r="AE4" s="374">
        <f>'إدخال البيانات'!F7</f>
        <v>0</v>
      </c>
      <c r="AF4" s="374"/>
      <c r="AG4" s="374"/>
      <c r="AH4" s="226"/>
      <c r="AI4" s="226"/>
      <c r="AJ4" s="227"/>
      <c r="AK4" s="116"/>
      <c r="AM4" s="78"/>
      <c r="AO4" s="149" t="s">
        <v>56</v>
      </c>
      <c r="AU4"/>
      <c r="AV4"/>
      <c r="AW4"/>
      <c r="AX4"/>
      <c r="AY4"/>
      <c r="AZ4"/>
      <c r="BA4"/>
      <c r="BB4"/>
      <c r="BC4" t="s">
        <v>82</v>
      </c>
      <c r="BD4"/>
      <c r="BE4"/>
      <c r="BF4"/>
      <c r="BG4"/>
      <c r="BH4"/>
      <c r="BI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pans="1:80" s="64" customFormat="1" ht="21" customHeight="1" thickTop="1" thickBot="1" x14ac:dyDescent="0.3">
      <c r="B5" s="163"/>
      <c r="C5" s="401" t="s">
        <v>67</v>
      </c>
      <c r="D5" s="401"/>
      <c r="E5" s="401"/>
      <c r="F5" s="397"/>
      <c r="G5" s="397"/>
      <c r="H5" s="397"/>
      <c r="I5" s="397"/>
      <c r="J5" s="397"/>
      <c r="K5" s="397"/>
      <c r="L5" s="397"/>
      <c r="M5" s="397"/>
      <c r="N5" s="397"/>
      <c r="O5" s="375" t="s">
        <v>230</v>
      </c>
      <c r="P5" s="375"/>
      <c r="Q5" s="397"/>
      <c r="R5" s="397"/>
      <c r="S5" s="397"/>
      <c r="T5" s="397"/>
      <c r="U5" s="375" t="s">
        <v>0</v>
      </c>
      <c r="V5" s="375"/>
      <c r="W5" s="235"/>
      <c r="X5" s="375" t="s">
        <v>231</v>
      </c>
      <c r="Y5" s="375"/>
      <c r="Z5" s="375"/>
      <c r="AA5" s="160"/>
      <c r="AB5" s="367"/>
      <c r="AC5" s="367"/>
      <c r="AD5" s="164"/>
      <c r="AE5" s="165"/>
      <c r="AF5" s="165"/>
      <c r="AG5" s="165"/>
      <c r="AH5" s="228"/>
      <c r="AI5" s="228"/>
      <c r="AJ5" s="225"/>
      <c r="AK5" s="116"/>
      <c r="AL5" s="79"/>
      <c r="AO5" s="64" t="s">
        <v>227</v>
      </c>
      <c r="AU5">
        <v>1</v>
      </c>
      <c r="AV5">
        <v>41</v>
      </c>
      <c r="AW5" t="s">
        <v>110</v>
      </c>
      <c r="AX5">
        <f t="shared" ref="AX5:AY11" si="0">H8</f>
        <v>0</v>
      </c>
      <c r="AY5" t="e">
        <f t="shared" si="0"/>
        <v>#N/A</v>
      </c>
      <c r="AZ5"/>
      <c r="BA5"/>
      <c r="BB5"/>
      <c r="BC5" t="s">
        <v>83</v>
      </c>
      <c r="BD5"/>
      <c r="BE5"/>
      <c r="BF5" t="s">
        <v>153</v>
      </c>
      <c r="BG5"/>
      <c r="BH5"/>
      <c r="BI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ht="43.5" customHeight="1" thickBot="1" x14ac:dyDescent="0.3">
      <c r="B6" s="404" t="e">
        <f>IF(E2="مستنفذ","استنفذت فرص التسجيل في برنامج الدراسات القانونية بسبب رسوبك لمدة ثلاث سنوات متتالية","مقررات السنة الأولى")</f>
        <v>#N/A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5"/>
      <c r="R6" s="89"/>
      <c r="S6" s="213"/>
      <c r="T6" s="402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229"/>
      <c r="AI6" s="229"/>
      <c r="AJ6" s="229"/>
      <c r="AK6" s="230"/>
      <c r="AL6" s="78"/>
      <c r="AN6" s="64"/>
      <c r="AO6" s="64" t="s">
        <v>228</v>
      </c>
      <c r="AU6">
        <v>2</v>
      </c>
      <c r="AV6">
        <v>42</v>
      </c>
      <c r="AW6" t="s">
        <v>111</v>
      </c>
      <c r="AX6">
        <f t="shared" si="0"/>
        <v>0</v>
      </c>
      <c r="AY6" t="e">
        <f t="shared" si="0"/>
        <v>#N/A</v>
      </c>
      <c r="BF6" t="s">
        <v>157</v>
      </c>
      <c r="BG6" s="152">
        <v>141</v>
      </c>
    </row>
    <row r="7" spans="1:80" ht="23.25" customHeight="1" thickBot="1" x14ac:dyDescent="0.3">
      <c r="B7" s="371" t="s">
        <v>17</v>
      </c>
      <c r="C7" s="371"/>
      <c r="D7" s="371"/>
      <c r="E7" s="371"/>
      <c r="F7" s="371"/>
      <c r="G7" s="371"/>
      <c r="H7" s="372"/>
      <c r="I7" s="90"/>
      <c r="J7" s="101"/>
      <c r="K7" s="210"/>
      <c r="L7" s="398" t="s">
        <v>18</v>
      </c>
      <c r="M7" s="371"/>
      <c r="N7" s="371"/>
      <c r="O7" s="371"/>
      <c r="P7" s="372"/>
      <c r="Q7" s="90"/>
      <c r="R7" s="91"/>
      <c r="S7" s="92"/>
      <c r="T7" s="368" t="s">
        <v>19</v>
      </c>
      <c r="U7" s="369"/>
      <c r="V7" s="369"/>
      <c r="W7" s="369"/>
      <c r="X7" s="370"/>
      <c r="Y7" s="123"/>
      <c r="Z7" s="101"/>
      <c r="AA7" s="93"/>
      <c r="AB7" s="368" t="s">
        <v>18</v>
      </c>
      <c r="AC7" s="369"/>
      <c r="AD7" s="369"/>
      <c r="AE7" s="369"/>
      <c r="AF7" s="370"/>
      <c r="AG7" s="220"/>
      <c r="AH7" s="229"/>
      <c r="AI7" s="229"/>
      <c r="AJ7" s="229"/>
      <c r="AK7" s="230"/>
      <c r="AL7" s="64"/>
      <c r="AN7" s="64"/>
      <c r="AO7" s="64" t="s">
        <v>70</v>
      </c>
      <c r="AU7">
        <v>3</v>
      </c>
      <c r="AV7">
        <v>43</v>
      </c>
      <c r="AW7" t="s">
        <v>112</v>
      </c>
      <c r="AX7">
        <f t="shared" si="0"/>
        <v>0</v>
      </c>
      <c r="AY7" t="e">
        <f t="shared" si="0"/>
        <v>#N/A</v>
      </c>
      <c r="BF7" t="s">
        <v>155</v>
      </c>
      <c r="BG7" s="152">
        <v>143</v>
      </c>
    </row>
    <row r="8" spans="1:80" ht="26.25" customHeight="1" thickBot="1" x14ac:dyDescent="0.35">
      <c r="A8" s="44" t="e">
        <f>IF(AND(I8&lt;&gt;"",OR(H8=1,H8=2,H8=3)),1,"")</f>
        <v>#N/A</v>
      </c>
      <c r="B8" s="94" t="e">
        <f>IF(AND(I8="A",H8=1),50000,IF(OR(I8="ج",I8="ر1",I8="ر2"),IF(H8=1,IF(OR($F$5=$AO$8,$F$5=$AO$9),0,IF(OR($F$5=$AO$1,F5=$AO$2,$F$5=$AO$5,$F$5=$AO$6),IF(I8="ج",20000,IF(I8="ر1",28000,IF(I8="ر2",36000,""))),IF(OR($F$5=$AO$3,$F$5=$AO$7),IF(I8="ج",12500,IF(I8="ر1",17500,IF(I8="ر2",22500,""))),IF($F$5=$AO$4,500,IF(I8="ج",25000,IF(I8="ر1",35000,IF(I8="ر2",45000,""))))))))))</f>
        <v>#N/A</v>
      </c>
      <c r="C8" s="40">
        <v>41</v>
      </c>
      <c r="D8" s="344" t="s">
        <v>110</v>
      </c>
      <c r="E8" s="345"/>
      <c r="F8" s="345"/>
      <c r="G8" s="345"/>
      <c r="H8" s="232"/>
      <c r="I8" s="142" t="e">
        <f>IF(VLOOKUP($E$1,ورقة4!$A$2:$BA$15000,3,0)=0,"",(VLOOKUP($E$1,ورقة4!$A$2:$BA$15000,3,0)))</f>
        <v>#N/A</v>
      </c>
      <c r="J8" s="102" t="e">
        <f>IF(AND(Q8&lt;&gt;"",OR(P8=1,P8=2,P8=3)),8,"")</f>
        <v>#N/A</v>
      </c>
      <c r="K8" s="94" t="e">
        <f>IF(AND(Q8="A",P8=1),50000,IF(OR(Q8="ج",Q8="ر1",Q8="ر2"),IF(P8=1,IF(OR($F$5=$AO$8,$F$5=$AO$9),0,IF(OR($F$5=$AO$1,O5=$AO$2,$F$5=$AO$5,$F$5=$AO$6),IF(Q8="ج",20000,IF(Q8="ر1",28000,IF(Q8="ر2",36000,""))),IF(OR($F$5=$AO$3,$F$5=$AO$7),IF(Q8="ج",12500,IF(Q8="ر1",17500,IF(Q8="ر2",22500,""))),IF($F$5=$AO$4,500,IF(Q8="ج",25000,IF(Q8="ر1",35000,IF(Q8="ر2",45000,""))))))))))</f>
        <v>#N/A</v>
      </c>
      <c r="L8" s="40">
        <v>47</v>
      </c>
      <c r="M8" s="399" t="s">
        <v>116</v>
      </c>
      <c r="N8" s="400"/>
      <c r="O8" s="400"/>
      <c r="P8" s="232"/>
      <c r="Q8" s="143" t="e">
        <f>IF(VLOOKUP($E$1,ورقة4!$A$2:$BA$15000,10,0)=0,"",(VLOOKUP($E$1,ورقة4!$A$2:$BA$15000,10,0)))</f>
        <v>#N/A</v>
      </c>
      <c r="R8" s="91" t="e">
        <f>IF(AND(Y8&lt;&gt;"",OR(X8=1,X8=2,X8=3)),27,"")</f>
        <v>#N/A</v>
      </c>
      <c r="S8" s="94" t="e">
        <f>IF(AND(Y8="A",X8=1),50000,IF(OR(Y8="ج",Y8="ر1",Y8="ر2"),IF(X8=1,IF(OR($F$5=$AO$8,$F$5=$AO$9),0,IF(OR($F$5=$AO$1,W5=$AO$2,$F$5=$AO$5,$F$5=$AO$6),IF(Y8="ج",20000,IF(Y8="ر1",28000,IF(Y8="ر2",36000,""))),IF(OR($F$5=$AO$3,$F$5=$AO$7),IF(Y8="ج",12500,IF(Y8="ر1",17500,IF(Y8="ر2",22500,""))),IF($F$5=$AO$4,500,IF(Y8="ج",25000,IF(Y8="ر1",35000,IF(Y8="ر2",45000,""))))))))))</f>
        <v>#N/A</v>
      </c>
      <c r="T8" s="135">
        <v>63</v>
      </c>
      <c r="U8" s="391" t="s">
        <v>130</v>
      </c>
      <c r="V8" s="392"/>
      <c r="W8" s="392"/>
      <c r="X8" s="232"/>
      <c r="Y8" s="142" t="e">
        <f>IF(VLOOKUP($E$1,ورقة4!$A$2:$BA$15000,29,0)=0,"",(VLOOKUP($E$1,ورقة4!$A$2:$BA$15000,29,0)))</f>
        <v>#N/A</v>
      </c>
      <c r="Z8" s="102" t="e">
        <f>IF(AND(AG8&lt;&gt;"",OR(AF8=1,AF8=2,AF8=3)),33,"")</f>
        <v>#N/A</v>
      </c>
      <c r="AA8" s="94" t="e">
        <f>IF(AND(AG8="A",AF8=1),50000,IF(OR(AG8="ج",AG8="ر1",AG8="ر2"),IF(AF8=1,IF(OR($F$5=$AO$8,$F$5=$AO$9),0,IF(OR($F$5=$AO$1,AE5=$AO$2,$F$5=$AO$5,$F$5=$AO$6),IF(AG8="ج",20000,IF(AG8="ر1",28000,IF(AG8="ر2",36000,""))),IF(OR($F$5=$AO$3,$F$5=$AO$7),IF(AG8="ج",12500,IF(AG8="ر1",17500,IF(AG8="ر2",22500,""))),IF($F$5=$AO$4,500,IF(AG8="ج",25000,IF(AG8="ر1",35000,IF(AG8="ر2",45000,""))))))))))</f>
        <v>#N/A</v>
      </c>
      <c r="AB8" s="135">
        <v>69</v>
      </c>
      <c r="AC8" s="385" t="s">
        <v>136</v>
      </c>
      <c r="AD8" s="386"/>
      <c r="AE8" s="386"/>
      <c r="AF8" s="232"/>
      <c r="AG8" s="221" t="e">
        <f>IF(VLOOKUP($E$1,ورقة4!$A$2:$BA$15000,35,0)=0,"",(VLOOKUP($E$1,ورقة4!$A$2:$BA$15000,35,0)))</f>
        <v>#N/A</v>
      </c>
      <c r="AH8" s="117"/>
      <c r="AI8" s="117"/>
      <c r="AJ8" s="117"/>
      <c r="AK8" s="230"/>
      <c r="AL8" s="78" t="e">
        <f t="shared" ref="AL8:AL14" si="1">IF(A8&lt;&gt;"",A8,"")</f>
        <v>#N/A</v>
      </c>
      <c r="AM8" s="1">
        <v>1</v>
      </c>
      <c r="AN8" s="64"/>
      <c r="AO8" s="150" t="s">
        <v>8</v>
      </c>
      <c r="AU8">
        <v>4</v>
      </c>
      <c r="AV8">
        <v>44</v>
      </c>
      <c r="AW8" t="s">
        <v>113</v>
      </c>
      <c r="AX8">
        <f t="shared" si="0"/>
        <v>0</v>
      </c>
      <c r="AY8" t="e">
        <f t="shared" si="0"/>
        <v>#N/A</v>
      </c>
      <c r="BF8" t="s">
        <v>158</v>
      </c>
      <c r="BG8" s="152">
        <v>144</v>
      </c>
    </row>
    <row r="9" spans="1:80" ht="26.25" customHeight="1" thickTop="1" thickBot="1" x14ac:dyDescent="0.3">
      <c r="A9" s="44" t="e">
        <f>IF(AND(I9&lt;&gt;"",OR(H9=1,H9=2,H9=3)),2,"")</f>
        <v>#N/A</v>
      </c>
      <c r="B9" s="94" t="e">
        <f t="shared" ref="B9:B14" si="2">IF(AND(I9="A",H9=1),50000,IF(OR(I9="ج",I9="ر1",I9="ر2"),IF(H9=1,IF(OR($F$5=$AO$8,$F$5=$AO$9),0,IF(OR($F$5=$AO$1,F6=$AO$2,$F$5=$AO$5,$F$5=$AO$6),IF(I9="ج",20000,IF(I9="ر1",28000,IF(I9="ر2",36000,""))),IF(OR($F$5=$AO$3,$F$5=$AO$7),IF(I9="ج",12500,IF(I9="ر1",17500,IF(I9="ر2",22500,""))),IF($F$5=$AO$4,500,IF(I9="ج",25000,IF(I9="ر1",35000,IF(I9="ر2",45000,""))))))))))</f>
        <v>#N/A</v>
      </c>
      <c r="C9" s="41">
        <v>42</v>
      </c>
      <c r="D9" s="340" t="s">
        <v>111</v>
      </c>
      <c r="E9" s="341"/>
      <c r="F9" s="341"/>
      <c r="G9" s="341"/>
      <c r="H9" s="233"/>
      <c r="I9" s="142" t="e">
        <f>IF(VLOOKUP($E$1,ورقة4!$A$2:$BA$15000,4,0)=0,"",(VLOOKUP($E$1,ورقة4!$A$2:$BA$15000,4,0)))</f>
        <v>#N/A</v>
      </c>
      <c r="J9" s="102" t="e">
        <f>IF(AND(Q9&lt;&gt;"",OR(P9=1,P9=2,P9=3)),9,"")</f>
        <v>#N/A</v>
      </c>
      <c r="K9" s="94" t="e">
        <f t="shared" ref="K9:K13" si="3">IF(AND(Q9="A",P9=1),50000,IF(OR(Q9="ج",Q9="ر1",Q9="ر2"),IF(P9=1,IF(OR($F$5=$AO$8,$F$5=$AO$9),0,IF(OR($F$5=$AO$1,O6=$AO$2,$F$5=$AO$5,$F$5=$AO$6),IF(Q9="ج",20000,IF(Q9="ر1",28000,IF(Q9="ر2",36000,""))),IF(OR($F$5=$AO$3,$F$5=$AO$7),IF(Q9="ج",12500,IF(Q9="ر1",17500,IF(Q9="ر2",22500,""))),IF($F$5=$AO$4,500,IF(Q9="ج",25000,IF(Q9="ر1",35000,IF(Q9="ر2",45000,""))))))))))</f>
        <v>#N/A</v>
      </c>
      <c r="L9" s="41">
        <v>48</v>
      </c>
      <c r="M9" s="340" t="s">
        <v>117</v>
      </c>
      <c r="N9" s="341"/>
      <c r="O9" s="341"/>
      <c r="P9" s="233"/>
      <c r="Q9" s="144" t="e">
        <f>IF(VLOOKUP($E$1,ورقة4!$A$2:$BA$15000,11,0)=0,"",(VLOOKUP($E$1,ورقة4!$A$2:$BA$15000,11,0)))</f>
        <v>#N/A</v>
      </c>
      <c r="R9" s="91" t="e">
        <f>IF(AND(Y9&lt;&gt;"",OR(X9=1,X9=2,X9=3)),28,"")</f>
        <v>#N/A</v>
      </c>
      <c r="S9" s="94" t="e">
        <f t="shared" ref="S9:S13" si="4">IF(AND(Y9="A",X9=1),50000,IF(OR(Y9="ج",Y9="ر1",Y9="ر2"),IF(X9=1,IF(OR($F$5=$AO$8,$F$5=$AO$9),0,IF(OR($F$5=$AO$1,W6=$AO$2,$F$5=$AO$5,$F$5=$AO$6),IF(Y9="ج",20000,IF(Y9="ر1",28000,IF(Y9="ر2",36000,""))),IF(OR($F$5=$AO$3,$F$5=$AO$7),IF(Y9="ج",12500,IF(Y9="ر1",17500,IF(Y9="ر2",22500,""))),IF($F$5=$AO$4,500,IF(Y9="ج",25000,IF(Y9="ر1",35000,IF(Y9="ر2",45000,""))))))))))</f>
        <v>#N/A</v>
      </c>
      <c r="T9" s="136">
        <v>64</v>
      </c>
      <c r="U9" s="357" t="s">
        <v>131</v>
      </c>
      <c r="V9" s="358"/>
      <c r="W9" s="358"/>
      <c r="X9" s="233"/>
      <c r="Y9" s="142" t="e">
        <f>IF(VLOOKUP($E$1,ورقة4!$A$2:$BA$15000,30,0)=0,"",(VLOOKUP($E$1,ورقة4!$A$2:$BA$15000,30,0)))</f>
        <v>#N/A</v>
      </c>
      <c r="Z9" s="102" t="e">
        <f>IF(AND(AG9&lt;&gt;"",OR(AF9=1,AF9=2,AF9=3)),34,"")</f>
        <v>#N/A</v>
      </c>
      <c r="AA9" s="94" t="e">
        <f t="shared" ref="AA9:AA13" si="5">IF(AND(AG9="A",AF9=1),50000,IF(OR(AG9="ج",AG9="ر1",AG9="ر2"),IF(AF9=1,IF(OR($F$5=$AO$8,$F$5=$AO$9),0,IF(OR($F$5=$AO$1,AE6=$AO$2,$F$5=$AO$5,$F$5=$AO$6),IF(AG9="ج",20000,IF(AG9="ر1",28000,IF(AG9="ر2",36000,""))),IF(OR($F$5=$AO$3,$F$5=$AO$7),IF(AG9="ج",12500,IF(AG9="ر1",17500,IF(AG9="ر2",22500,""))),IF($F$5=$AO$4,500,IF(AG9="ج",25000,IF(AG9="ر1",35000,IF(AG9="ر2",45000,""))))))))))</f>
        <v>#N/A</v>
      </c>
      <c r="AB9" s="136">
        <v>70</v>
      </c>
      <c r="AC9" s="352" t="s">
        <v>137</v>
      </c>
      <c r="AD9" s="353"/>
      <c r="AE9" s="353"/>
      <c r="AF9" s="233"/>
      <c r="AG9" s="221" t="e">
        <f>IF(VLOOKUP($E$1,ورقة4!$A$2:$BA$15000,36,0)=0,"",(VLOOKUP($E$1,ورقة4!$A$2:$BA$15000,36,0)))</f>
        <v>#N/A</v>
      </c>
      <c r="AH9" s="383"/>
      <c r="AI9" s="383"/>
      <c r="AJ9" s="383"/>
      <c r="AK9" s="230"/>
      <c r="AL9" s="78" t="e">
        <f t="shared" si="1"/>
        <v>#N/A</v>
      </c>
      <c r="AM9" s="1">
        <v>2</v>
      </c>
      <c r="AO9" s="151" t="s">
        <v>15</v>
      </c>
      <c r="AU9">
        <v>5</v>
      </c>
      <c r="AV9">
        <v>45</v>
      </c>
      <c r="AW9" t="s">
        <v>114</v>
      </c>
      <c r="AX9">
        <f t="shared" si="0"/>
        <v>0</v>
      </c>
      <c r="AY9" t="e">
        <f t="shared" si="0"/>
        <v>#N/A</v>
      </c>
      <c r="BF9" t="s">
        <v>159</v>
      </c>
      <c r="BG9" s="152">
        <v>146</v>
      </c>
    </row>
    <row r="10" spans="1:80" ht="26.25" customHeight="1" thickTop="1" thickBot="1" x14ac:dyDescent="0.3">
      <c r="A10" s="44" t="e">
        <f>IF(AND(I10&lt;&gt;"",OR(H10=1,H10=2,H10=3)),3,"")</f>
        <v>#N/A</v>
      </c>
      <c r="B10" s="94" t="e">
        <f t="shared" si="2"/>
        <v>#N/A</v>
      </c>
      <c r="C10" s="41">
        <v>43</v>
      </c>
      <c r="D10" s="340" t="s">
        <v>112</v>
      </c>
      <c r="E10" s="341"/>
      <c r="F10" s="341"/>
      <c r="G10" s="341"/>
      <c r="H10" s="233"/>
      <c r="I10" s="142" t="e">
        <f>IF(VLOOKUP($E$1,ورقة4!$A$2:$BA$15000,5,0)=0,"",(VLOOKUP($E$1,ورقة4!$A$2:$BA$15000,5,0)))</f>
        <v>#N/A</v>
      </c>
      <c r="J10" s="102" t="e">
        <f>IF(AND(Q10&lt;&gt;"",OR(P10=1,P10=2,P10=3)),10,"")</f>
        <v>#N/A</v>
      </c>
      <c r="K10" s="94" t="e">
        <f t="shared" si="3"/>
        <v>#N/A</v>
      </c>
      <c r="L10" s="41">
        <v>49</v>
      </c>
      <c r="M10" s="340" t="s">
        <v>118</v>
      </c>
      <c r="N10" s="341"/>
      <c r="O10" s="341"/>
      <c r="P10" s="233"/>
      <c r="Q10" s="144" t="e">
        <f>IF(VLOOKUP($E$1,ورقة4!$A$2:$BA$15000,12,0)=0,"",(VLOOKUP($E$1,ورقة4!$A$2:$BA$15000,12,0)))</f>
        <v>#N/A</v>
      </c>
      <c r="R10" s="91" t="e">
        <f>IF(AND(Y10&lt;&gt;"",OR(X10=1,X10=2,X10=3)),29,"")</f>
        <v>#N/A</v>
      </c>
      <c r="S10" s="94" t="e">
        <f t="shared" si="4"/>
        <v>#N/A</v>
      </c>
      <c r="T10" s="136">
        <v>65</v>
      </c>
      <c r="U10" s="359" t="s">
        <v>132</v>
      </c>
      <c r="V10" s="341"/>
      <c r="W10" s="341"/>
      <c r="X10" s="233"/>
      <c r="Y10" s="142" t="e">
        <f>IF(VLOOKUP($E$1,ورقة4!$A$2:$BA$15000,31,0)=0,"",(VLOOKUP($E$1,ورقة4!$A$2:$BA$15000,31,0)))</f>
        <v>#N/A</v>
      </c>
      <c r="Z10" s="102" t="e">
        <f>IF(AND(AG10&lt;&gt;"",OR(AF10=1,AF10=2,AF10=3)),35,"")</f>
        <v>#N/A</v>
      </c>
      <c r="AA10" s="94" t="e">
        <f t="shared" si="5"/>
        <v>#N/A</v>
      </c>
      <c r="AB10" s="136">
        <v>71</v>
      </c>
      <c r="AC10" s="354" t="s">
        <v>138</v>
      </c>
      <c r="AD10" s="347"/>
      <c r="AE10" s="347"/>
      <c r="AF10" s="233"/>
      <c r="AG10" s="221" t="e">
        <f>IF(VLOOKUP($E$1,ورقة4!$A$2:$BA$15000,37,0)=0,"",(VLOOKUP($E$1,ورقة4!$A$2:$BA$15000,37,0)))</f>
        <v>#N/A</v>
      </c>
      <c r="AH10" s="384"/>
      <c r="AI10" s="384"/>
      <c r="AJ10" s="384"/>
      <c r="AK10" s="230"/>
      <c r="AL10" s="78" t="e">
        <f t="shared" si="1"/>
        <v>#N/A</v>
      </c>
      <c r="AM10" s="1">
        <v>3</v>
      </c>
      <c r="AU10">
        <v>6</v>
      </c>
      <c r="AV10">
        <v>46</v>
      </c>
      <c r="AW10" t="s">
        <v>115</v>
      </c>
      <c r="AX10">
        <f t="shared" si="0"/>
        <v>0</v>
      </c>
      <c r="AY10" t="e">
        <f t="shared" si="0"/>
        <v>#N/A</v>
      </c>
      <c r="BF10" t="s">
        <v>156</v>
      </c>
      <c r="BG10" s="152">
        <v>147</v>
      </c>
    </row>
    <row r="11" spans="1:80" ht="26.25" customHeight="1" thickTop="1" thickBot="1" x14ac:dyDescent="0.3">
      <c r="A11" s="44" t="e">
        <f>IF(AND(I11&lt;&gt;"",OR(H11=1,H11=2,H11=3)),4,"")</f>
        <v>#N/A</v>
      </c>
      <c r="B11" s="94" t="e">
        <f t="shared" si="2"/>
        <v>#N/A</v>
      </c>
      <c r="C11" s="41">
        <v>44</v>
      </c>
      <c r="D11" s="340" t="s">
        <v>113</v>
      </c>
      <c r="E11" s="341"/>
      <c r="F11" s="341"/>
      <c r="G11" s="341"/>
      <c r="H11" s="233"/>
      <c r="I11" s="142" t="e">
        <f>IF(VLOOKUP($E$1,ورقة4!$A$2:$BA$15000,6,0)=0,"",(VLOOKUP($E$1,ورقة4!$A$2:$BA$15000,6,0)))</f>
        <v>#N/A</v>
      </c>
      <c r="J11" s="102" t="e">
        <f>IF(AND(Q11&lt;&gt;"",OR(P11=1,P11=2,P11=3)),11,"")</f>
        <v>#N/A</v>
      </c>
      <c r="K11" s="94" t="e">
        <f t="shared" si="3"/>
        <v>#N/A</v>
      </c>
      <c r="L11" s="41">
        <v>50</v>
      </c>
      <c r="M11" s="340" t="s">
        <v>119</v>
      </c>
      <c r="N11" s="341"/>
      <c r="O11" s="341"/>
      <c r="P11" s="233"/>
      <c r="Q11" s="144" t="e">
        <f>IF(VLOOKUP($E$1,ورقة4!$A$2:$BA$15000,13,0)=0,"",(VLOOKUP($E$1,ورقة4!$A$2:$BA$15000,13,0)))</f>
        <v>#N/A</v>
      </c>
      <c r="R11" s="91" t="e">
        <f>IF(AND(Y11&lt;&gt;"",OR(X11=1,X11=2,X11=3)),30,"")</f>
        <v>#N/A</v>
      </c>
      <c r="S11" s="94" t="e">
        <f t="shared" si="4"/>
        <v>#N/A</v>
      </c>
      <c r="T11" s="136">
        <v>66</v>
      </c>
      <c r="U11" s="357" t="s">
        <v>133</v>
      </c>
      <c r="V11" s="358"/>
      <c r="W11" s="358"/>
      <c r="X11" s="233"/>
      <c r="Y11" s="142" t="e">
        <f>IF(VLOOKUP($E$1,ورقة4!$A$2:$BA$15000,32,0)=0,"",(VLOOKUP($E$1,ورقة4!$A$2:$BA$15000,32,0)))</f>
        <v>#N/A</v>
      </c>
      <c r="Z11" s="102" t="e">
        <f>IF(AND(AG11&lt;&gt;"",OR(AF11=1,AF11=2,AF11=3)),36,"")</f>
        <v>#N/A</v>
      </c>
      <c r="AA11" s="94" t="e">
        <f t="shared" si="5"/>
        <v>#N/A</v>
      </c>
      <c r="AB11" s="136">
        <v>72</v>
      </c>
      <c r="AC11" s="352" t="s">
        <v>139</v>
      </c>
      <c r="AD11" s="353"/>
      <c r="AE11" s="353"/>
      <c r="AF11" s="233"/>
      <c r="AG11" s="221" t="e">
        <f>IF(VLOOKUP($E$1,ورقة4!$A$2:$BA$15000,38,0)=0,"",(VLOOKUP($E$1,ورقة4!$A$2:$BA$15000,38,0)))</f>
        <v>#N/A</v>
      </c>
      <c r="AH11" s="384"/>
      <c r="AI11" s="384"/>
      <c r="AJ11" s="384"/>
      <c r="AK11" s="230"/>
      <c r="AL11" s="78" t="e">
        <f t="shared" si="1"/>
        <v>#N/A</v>
      </c>
      <c r="AM11" s="1">
        <v>4</v>
      </c>
      <c r="AU11">
        <v>7</v>
      </c>
      <c r="AV11">
        <v>101</v>
      </c>
      <c r="AW11" t="s">
        <v>179</v>
      </c>
      <c r="AX11">
        <f t="shared" si="0"/>
        <v>0</v>
      </c>
      <c r="AY11" t="e">
        <f t="shared" si="0"/>
        <v>#N/A</v>
      </c>
      <c r="BF11" t="s">
        <v>154</v>
      </c>
      <c r="BG11" s="152">
        <v>148</v>
      </c>
    </row>
    <row r="12" spans="1:80" ht="26.25" customHeight="1" thickTop="1" thickBot="1" x14ac:dyDescent="0.3">
      <c r="A12" s="44" t="e">
        <f>IF(AND(I12&lt;&gt;"",OR(H12=1,H12=2,H12=3)),5,"")</f>
        <v>#N/A</v>
      </c>
      <c r="B12" s="94" t="e">
        <f t="shared" si="2"/>
        <v>#N/A</v>
      </c>
      <c r="C12" s="41">
        <v>45</v>
      </c>
      <c r="D12" s="340" t="s">
        <v>114</v>
      </c>
      <c r="E12" s="341"/>
      <c r="F12" s="341"/>
      <c r="G12" s="341"/>
      <c r="H12" s="233"/>
      <c r="I12" s="142" t="e">
        <f>IF(VLOOKUP($E$1,ورقة4!$A$2:$BA$15000,7,0)=0,"",(VLOOKUP($E$1,ورقة4!$A$2:$BA$15000,7,0)))</f>
        <v>#N/A</v>
      </c>
      <c r="J12" s="102" t="e">
        <f>IF(AND(Q12&lt;&gt;"",OR(P12=1,P12=2,P12=3)),12,"")</f>
        <v>#N/A</v>
      </c>
      <c r="K12" s="94" t="e">
        <f t="shared" si="3"/>
        <v>#N/A</v>
      </c>
      <c r="L12" s="41">
        <v>51</v>
      </c>
      <c r="M12" s="340" t="s">
        <v>151</v>
      </c>
      <c r="N12" s="341"/>
      <c r="O12" s="341"/>
      <c r="P12" s="233"/>
      <c r="Q12" s="144" t="e">
        <f>IF(VLOOKUP($E$1,ورقة4!$A$2:$BA$15000,14,0)=0,"",(VLOOKUP($E$1,ورقة4!$A$2:$BA$15000,14,0)))</f>
        <v>#N/A</v>
      </c>
      <c r="R12" s="91" t="e">
        <f>IF(AND(Y12&lt;&gt;"",OR(X12=1,X12=2,X12=3)),31,"")</f>
        <v>#N/A</v>
      </c>
      <c r="S12" s="94" t="e">
        <f t="shared" si="4"/>
        <v>#N/A</v>
      </c>
      <c r="T12" s="136">
        <v>67</v>
      </c>
      <c r="U12" s="357" t="s">
        <v>134</v>
      </c>
      <c r="V12" s="358"/>
      <c r="W12" s="358"/>
      <c r="X12" s="233"/>
      <c r="Y12" s="142" t="e">
        <f>IF(VLOOKUP($E$1,ورقة4!$A$2:$BA$15000,33,0)=0,"",(VLOOKUP($E$1,ورقة4!$A$2:$BA$15000,33,0)))</f>
        <v>#N/A</v>
      </c>
      <c r="Z12" s="102" t="e">
        <f>IF(AND(AG12&lt;&gt;"",OR(AF12=1,AF12=2,AF12=3)),37,"")</f>
        <v>#N/A</v>
      </c>
      <c r="AA12" s="94" t="e">
        <f t="shared" si="5"/>
        <v>#N/A</v>
      </c>
      <c r="AB12" s="136">
        <v>73</v>
      </c>
      <c r="AC12" s="352" t="s">
        <v>120</v>
      </c>
      <c r="AD12" s="353"/>
      <c r="AE12" s="353"/>
      <c r="AF12" s="233"/>
      <c r="AG12" s="221" t="e">
        <f>IF(VLOOKUP($E$1,ورقة4!$A$2:$BA$15000,39,0)=0,"",(VLOOKUP($E$1,ورقة4!$A$2:$BA$15000,39,0)))</f>
        <v>#N/A</v>
      </c>
      <c r="AH12" s="387"/>
      <c r="AI12" s="387"/>
      <c r="AJ12" s="387"/>
      <c r="AK12" s="230"/>
      <c r="AL12" s="78" t="e">
        <f t="shared" si="1"/>
        <v>#N/A</v>
      </c>
      <c r="AM12" s="1">
        <v>5</v>
      </c>
      <c r="AU12">
        <v>8</v>
      </c>
      <c r="AV12">
        <v>47</v>
      </c>
      <c r="AW12" t="s">
        <v>116</v>
      </c>
      <c r="AX12">
        <f t="shared" ref="AX12:AY17" si="6">P8</f>
        <v>0</v>
      </c>
      <c r="AY12" t="e">
        <f t="shared" si="6"/>
        <v>#N/A</v>
      </c>
      <c r="BF12" t="s">
        <v>153</v>
      </c>
    </row>
    <row r="13" spans="1:80" ht="26.25" customHeight="1" thickTop="1" thickBot="1" x14ac:dyDescent="0.3">
      <c r="A13" s="44" t="e">
        <f>IF(AND(I13&lt;&gt;"",OR(H13=1,H13=2,H13=3)),6,"")</f>
        <v>#N/A</v>
      </c>
      <c r="B13" s="94" t="e">
        <f t="shared" si="2"/>
        <v>#N/A</v>
      </c>
      <c r="C13" s="41">
        <v>46</v>
      </c>
      <c r="D13" s="340" t="s">
        <v>115</v>
      </c>
      <c r="E13" s="341"/>
      <c r="F13" s="341"/>
      <c r="G13" s="341"/>
      <c r="H13" s="233"/>
      <c r="I13" s="142" t="e">
        <f>IF(VLOOKUP($E$1,ورقة4!$A$2:$BA$15000,8,0)=0,"",(VLOOKUP($E$1,ورقة4!$A$2:$BA$15000,8,0)))</f>
        <v>#N/A</v>
      </c>
      <c r="J13" s="102" t="e">
        <f>IF(AND(Q13&lt;&gt;"",OR(P13=1,P13=2,P13=3)),13,"")</f>
        <v>#N/A</v>
      </c>
      <c r="K13" s="94" t="e">
        <f t="shared" si="3"/>
        <v>#N/A</v>
      </c>
      <c r="L13" s="41">
        <f>IFERROR(VLOOKUP(M13,$BF$5:$BG$34,2,0),"")</f>
        <v>0</v>
      </c>
      <c r="M13" s="355" t="s">
        <v>153</v>
      </c>
      <c r="N13" s="356"/>
      <c r="O13" s="356"/>
      <c r="P13" s="233"/>
      <c r="Q13" s="144" t="e">
        <f>IF(VLOOKUP($E$1,ورقة4!$A$2:$BA$15000,15,0)=0,"",(VLOOKUP($E$1,ورقة4!$A$2:$BA$15000,15,0)))</f>
        <v>#N/A</v>
      </c>
      <c r="R13" s="91" t="e">
        <f>IF(AND(Y13&lt;&gt;"",OR(X13=1,X13=2,X13=3)),32,"")</f>
        <v>#N/A</v>
      </c>
      <c r="S13" s="94" t="e">
        <f t="shared" si="4"/>
        <v>#N/A</v>
      </c>
      <c r="T13" s="137">
        <v>68</v>
      </c>
      <c r="U13" s="365" t="s">
        <v>135</v>
      </c>
      <c r="V13" s="366"/>
      <c r="W13" s="366"/>
      <c r="X13" s="233"/>
      <c r="Y13" s="142" t="e">
        <f>IF(VLOOKUP($E$1,ورقة4!$A$2:$BA$15000,34,0)=0,"",(VLOOKUP($E$1,ورقة4!$A$2:$BA$15000,34,0)))</f>
        <v>#N/A</v>
      </c>
      <c r="Z13" s="102" t="e">
        <f>IF(AND(AG13&lt;&gt;"",OR(AF13=1,AF13=2,AF13=3)),38,"")</f>
        <v>#N/A</v>
      </c>
      <c r="AA13" s="94" t="e">
        <f t="shared" si="5"/>
        <v>#N/A</v>
      </c>
      <c r="AB13" s="137">
        <f>IFERROR(VLOOKUP(AC13,$BF$5:$BG$34,2,0),"")</f>
        <v>0</v>
      </c>
      <c r="AC13" s="363" t="s">
        <v>153</v>
      </c>
      <c r="AD13" s="364"/>
      <c r="AE13" s="364"/>
      <c r="AF13" s="233"/>
      <c r="AG13" s="221" t="e">
        <f>IF(VLOOKUP($E$1,ورقة4!$A$2:$BA$15000,40,0)=0,"",(VLOOKUP($E$1,ورقة4!$A$2:$BA$15000,40,0)))</f>
        <v>#N/A</v>
      </c>
      <c r="AH13" s="387"/>
      <c r="AI13" s="387"/>
      <c r="AJ13" s="387"/>
      <c r="AK13" s="230"/>
      <c r="AL13" s="78" t="e">
        <f t="shared" si="1"/>
        <v>#N/A</v>
      </c>
      <c r="AM13" s="1">
        <v>6</v>
      </c>
      <c r="AU13">
        <v>9</v>
      </c>
      <c r="AV13">
        <v>48</v>
      </c>
      <c r="AW13" t="s">
        <v>117</v>
      </c>
      <c r="AX13">
        <f t="shared" si="6"/>
        <v>0</v>
      </c>
      <c r="AY13" t="e">
        <f t="shared" si="6"/>
        <v>#N/A</v>
      </c>
      <c r="BF13" t="s">
        <v>163</v>
      </c>
      <c r="BG13" s="152">
        <v>149</v>
      </c>
    </row>
    <row r="14" spans="1:80" ht="16.2" thickBot="1" x14ac:dyDescent="0.3">
      <c r="A14" s="44" t="e">
        <f>IF(AND(I14&lt;&gt;"",OR(H14=1,H14=2,H14=3)),7,"")</f>
        <v>#N/A</v>
      </c>
      <c r="B14" s="94" t="e">
        <f t="shared" si="2"/>
        <v>#N/A</v>
      </c>
      <c r="C14" s="140">
        <v>101</v>
      </c>
      <c r="D14" s="342" t="s">
        <v>152</v>
      </c>
      <c r="E14" s="343"/>
      <c r="F14" s="343"/>
      <c r="G14" s="343"/>
      <c r="H14" s="233"/>
      <c r="I14" s="142" t="e">
        <f>IF(VLOOKUP($E$1,ورقة4!$A$2:$BA$15000,9,0)=0,"",(VLOOKUP($E$1,ورقة4!$A$2:$BA$15000,9,0)))</f>
        <v>#N/A</v>
      </c>
      <c r="J14" s="102"/>
      <c r="K14" s="206"/>
      <c r="L14" s="130"/>
      <c r="M14" s="131"/>
      <c r="N14" s="131"/>
      <c r="O14" s="131"/>
      <c r="P14" s="234"/>
      <c r="Q14" s="208"/>
      <c r="R14" s="209"/>
      <c r="S14" s="206"/>
      <c r="T14" s="124"/>
      <c r="U14" s="125"/>
      <c r="V14" s="125"/>
      <c r="W14" s="125"/>
      <c r="X14" s="34"/>
      <c r="Y14" s="207"/>
      <c r="Z14" s="103"/>
      <c r="AA14" s="31"/>
      <c r="AB14" s="124"/>
      <c r="AC14" s="129"/>
      <c r="AD14" s="129"/>
      <c r="AE14" s="129"/>
      <c r="AF14" s="34"/>
      <c r="AG14" s="222"/>
      <c r="AH14" s="387"/>
      <c r="AI14" s="387"/>
      <c r="AJ14" s="387"/>
      <c r="AK14" s="230"/>
      <c r="AL14" s="78" t="e">
        <f t="shared" si="1"/>
        <v>#N/A</v>
      </c>
      <c r="AM14" s="1">
        <v>7</v>
      </c>
      <c r="AU14">
        <v>10</v>
      </c>
      <c r="AV14">
        <v>49</v>
      </c>
      <c r="AW14" t="s">
        <v>118</v>
      </c>
      <c r="AX14">
        <f t="shared" si="6"/>
        <v>0</v>
      </c>
      <c r="AY14" t="e">
        <f t="shared" si="6"/>
        <v>#N/A</v>
      </c>
      <c r="BF14" t="s">
        <v>160</v>
      </c>
      <c r="BG14" s="152">
        <v>151</v>
      </c>
    </row>
    <row r="15" spans="1:80" ht="16.2" hidden="1" thickBot="1" x14ac:dyDescent="0.3">
      <c r="A15" s="44" t="str">
        <f>IF(AND(I15&lt;&gt;"",H15=1),7,"")</f>
        <v/>
      </c>
      <c r="B15" s="94" t="e">
        <f>SUM(B8:B14)</f>
        <v>#N/A</v>
      </c>
      <c r="C15" s="139"/>
      <c r="D15" s="128"/>
      <c r="E15" s="128"/>
      <c r="F15" s="128"/>
      <c r="G15" s="128">
        <f>COUNTIFS(I8:I14,$U$30,H8:H14,1)</f>
        <v>0</v>
      </c>
      <c r="H15" s="96">
        <f>COUNTIFS(I8:I14,$AA$30,H8:H14,1)</f>
        <v>0</v>
      </c>
      <c r="I15" s="45">
        <f>COUNTIFS(I8:I14,$AF$30,H8:H14,1)</f>
        <v>0</v>
      </c>
      <c r="J15" s="95"/>
      <c r="K15" s="29" t="e">
        <f>SUM(K8:K13)</f>
        <v>#N/A</v>
      </c>
      <c r="L15" s="30"/>
      <c r="M15" s="38"/>
      <c r="N15" s="38"/>
      <c r="O15" s="128">
        <f>COUNTIFS(Q8:Q14,$U$30,P8:P14,1)</f>
        <v>0</v>
      </c>
      <c r="P15" s="96">
        <f>COUNTIFS(Q8:Q14,$AA$30,P8:P14,1)</f>
        <v>0</v>
      </c>
      <c r="Q15" s="45">
        <f>COUNTIFS(Q8:Q14,$AF$30,P8:P14,1)</f>
        <v>0</v>
      </c>
      <c r="R15" s="91"/>
      <c r="S15" s="94" t="e">
        <f>SUM(S8:S13)</f>
        <v>#N/A</v>
      </c>
      <c r="T15" s="32"/>
      <c r="U15" s="33"/>
      <c r="V15" s="33"/>
      <c r="W15" s="128">
        <f>COUNTIFS(Y8:Y14,$U$30,X8:X14,1)</f>
        <v>0</v>
      </c>
      <c r="X15" s="96">
        <f>COUNTIFS(Y8:Y14,$AA$30,X8:X14,1)</f>
        <v>0</v>
      </c>
      <c r="Y15" s="45">
        <f>COUNTIFS(Y8:Y14,$AF$30,X8:X14,1)</f>
        <v>0</v>
      </c>
      <c r="Z15" s="97"/>
      <c r="AA15" s="34" t="e">
        <f>SUM(AA8:AA13)</f>
        <v>#N/A</v>
      </c>
      <c r="AB15" s="33"/>
      <c r="AC15" s="33"/>
      <c r="AD15" s="33"/>
      <c r="AE15" s="128">
        <f>COUNTIFS(AG8:AG14,$U$30,AF8:AF14,1)</f>
        <v>0</v>
      </c>
      <c r="AF15" s="96">
        <f>COUNTIFS(AG8:AG14,$AA$30,AF8:AF14,1)</f>
        <v>0</v>
      </c>
      <c r="AG15" s="223">
        <f>COUNTIFS(AG8:AG14,$AF$30,AF8:AF14,1)</f>
        <v>0</v>
      </c>
      <c r="AH15" s="387"/>
      <c r="AI15" s="387"/>
      <c r="AJ15" s="387"/>
      <c r="AK15" s="230"/>
      <c r="AL15" s="78" t="e">
        <f t="shared" ref="AL15:AL20" si="7">IF(J8&lt;&gt;"",J8,"")</f>
        <v>#N/A</v>
      </c>
      <c r="AM15" s="1">
        <v>8</v>
      </c>
      <c r="AU15">
        <v>11</v>
      </c>
      <c r="AV15">
        <v>50</v>
      </c>
      <c r="AW15" t="s">
        <v>119</v>
      </c>
      <c r="AX15">
        <f t="shared" si="6"/>
        <v>0</v>
      </c>
      <c r="AY15" t="e">
        <f t="shared" si="6"/>
        <v>#N/A</v>
      </c>
      <c r="BF15" t="s">
        <v>162</v>
      </c>
      <c r="BG15" s="152">
        <v>152</v>
      </c>
    </row>
    <row r="16" spans="1:80" ht="21.6" thickBot="1" x14ac:dyDescent="0.3">
      <c r="A16" s="44"/>
      <c r="B16" s="348" t="s">
        <v>21</v>
      </c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9"/>
      <c r="R16" s="91"/>
      <c r="S16" s="212"/>
      <c r="T16" s="388" t="s">
        <v>22</v>
      </c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87"/>
      <c r="AI16" s="387"/>
      <c r="AJ16" s="387"/>
      <c r="AK16" s="230"/>
      <c r="AL16" s="78" t="e">
        <f t="shared" si="7"/>
        <v>#N/A</v>
      </c>
      <c r="AM16" s="1">
        <v>9</v>
      </c>
      <c r="AU16">
        <v>12</v>
      </c>
      <c r="AV16">
        <v>51</v>
      </c>
      <c r="AW16" t="s">
        <v>120</v>
      </c>
      <c r="AX16">
        <f t="shared" si="6"/>
        <v>0</v>
      </c>
      <c r="AY16" t="e">
        <f t="shared" si="6"/>
        <v>#N/A</v>
      </c>
      <c r="BF16" t="s">
        <v>164</v>
      </c>
      <c r="BG16" s="152">
        <v>153</v>
      </c>
    </row>
    <row r="17" spans="1:80" ht="26.25" customHeight="1" thickBot="1" x14ac:dyDescent="0.3">
      <c r="A17" s="44" t="e">
        <f>IF(AND(I17&lt;&gt;"",OR(H17=1,H17=2,H17=3)),14,"")</f>
        <v>#N/A</v>
      </c>
      <c r="B17" s="94" t="e">
        <f t="shared" ref="B17:B23" si="8">IF(AND(I17="A",H17=1),50000,IF(OR(I17="ج",I17="ر1",I17="ر2"),IF(H17=1,IF(OR($F$5=$AO$8,$F$5=$AO$9),0,IF(OR($F$5=$AO$1,F14=$AO$2,$F$5=$AO$5,$F$5=$AO$6),IF(I17="ج",20000,IF(I17="ر1",28000,IF(I17="ر2",36000,""))),IF(OR($F$5=$AO$3,$F$5=$AO$7),IF(I17="ج",12500,IF(I17="ر1",17500,IF(I17="ر2",22500,""))),IF($F$5=$AO$4,500,IF(I17="ج",25000,IF(I17="ر1",35000,IF(I17="ر2",45000,""))))))))))</f>
        <v>#N/A</v>
      </c>
      <c r="C17" s="40">
        <v>52</v>
      </c>
      <c r="D17" s="344" t="s">
        <v>121</v>
      </c>
      <c r="E17" s="345"/>
      <c r="F17" s="345"/>
      <c r="G17" s="345"/>
      <c r="H17" s="232"/>
      <c r="I17" s="147" t="e">
        <f>IF(VLOOKUP($E$1,ورقة4!$A$2:$BA$15000,16,0)=0,"",(VLOOKUP($E$1,ورقة4!$A$2:$BA$15000,16,0)))</f>
        <v>#N/A</v>
      </c>
      <c r="J17" s="102" t="e">
        <f>IF(AND(Q17&lt;&gt;"",OR(P17=1,P17=2,P17=3)),21,"")</f>
        <v>#N/A</v>
      </c>
      <c r="K17" s="94" t="e">
        <f t="shared" ref="K17:K22" si="9">IF(AND(Q17="A",P17=1),50000,IF(OR(Q17="ج",Q17="ر1",Q17="ر2"),IF(P17=1,IF(OR($F$5=$AO$8,$F$5=$AO$9),0,IF(OR($F$5=$AO$1,O14=$AO$2,$F$5=$AO$5,$F$5=$AO$6),IF(Q17="ج",20000,IF(Q17="ر1",28000,IF(Q17="ر2",36000,""))),IF(OR($F$5=$AO$3,$F$5=$AO$7),IF(Q17="ج",12500,IF(Q17="ر1",17500,IF(Q17="ر2",22500,""))),IF($F$5=$AO$4,500,IF(Q17="ج",25000,IF(Q17="ر1",35000,IF(Q17="ر2",45000,""))))))))))</f>
        <v>#N/A</v>
      </c>
      <c r="L17" s="40">
        <v>58</v>
      </c>
      <c r="M17" s="344" t="s">
        <v>127</v>
      </c>
      <c r="N17" s="345"/>
      <c r="O17" s="345"/>
      <c r="P17" s="232"/>
      <c r="Q17" s="145" t="e">
        <f>IF(VLOOKUP($E$1,ورقة4!$A$2:$BA$15000,23,0)=0,"",(VLOOKUP($E$1,ورقة4!$A$2:$BA$15000,23,0)))</f>
        <v>#N/A</v>
      </c>
      <c r="R17" s="91" t="e">
        <f>IF(AND(Y17&lt;&gt;"",OR(X17=1,X17=2,X17=3)),39,"")</f>
        <v>#N/A</v>
      </c>
      <c r="S17" s="94" t="e">
        <f t="shared" ref="S17:S22" si="10">IF(AND(Y17="A",X17=1),50000,IF(OR(Y17="ج",Y17="ر1",Y17="ر2"),IF(X17=1,IF(OR($F$5=$AO$8,$F$5=$AO$9),0,IF(OR($F$5=$AO$1,W14=$AO$2,$F$5=$AO$5,$F$5=$AO$6),IF(Y17="ج",20000,IF(Y17="ر1",28000,IF(Y17="ر2",36000,""))),IF(OR($F$5=$AO$3,$F$5=$AO$7),IF(Y17="ج",12500,IF(Y17="ر1",17500,IF(Y17="ر2",22500,""))),IF($F$5=$AO$4,500,IF(Y17="ج",25000,IF(Y17="ر1",35000,IF(Y17="ر2",45000,""))))))))))</f>
        <v>#N/A</v>
      </c>
      <c r="T17" s="135">
        <v>74</v>
      </c>
      <c r="U17" s="385" t="s">
        <v>140</v>
      </c>
      <c r="V17" s="386"/>
      <c r="W17" s="386"/>
      <c r="X17" s="232"/>
      <c r="Y17" s="145" t="e">
        <f>IF(VLOOKUP($E$1,ورقة4!$A$2:$BA$15000,41,0)=0,"",(VLOOKUP($E$1,ورقة4!$A$2:$BA$15000,41,0)))</f>
        <v>#N/A</v>
      </c>
      <c r="Z17" s="102" t="e">
        <f>IF(AND(AG17&lt;&gt;"",OR(AF17=1,AF17=2,AF17=3)),45,"")</f>
        <v>#N/A</v>
      </c>
      <c r="AA17" s="94" t="e">
        <f t="shared" ref="AA17:AA22" si="11">IF(AND(AG17="A",AF17=1),50000,IF(OR(AG17="ج",AG17="ر1",AG17="ر2"),IF(AF17=1,IF(OR($F$5=$AO$8,$F$5=$AO$9),0,IF(OR($F$5=$AO$1,AE14=$AO$2,$F$5=$AO$5,$F$5=$AO$6),IF(AG17="ج",20000,IF(AG17="ر1",28000,IF(AG17="ر2",36000,""))),IF(OR($F$5=$AO$3,$F$5=$AO$7),IF(AG17="ج",12500,IF(AG17="ر1",17500,IF(AG17="ر2",22500,""))),IF($F$5=$AO$4,500,IF(AG17="ج",25000,IF(AG17="ر1",35000,IF(AG17="ر2",45000,""))))))))))</f>
        <v>#N/A</v>
      </c>
      <c r="AB17" s="135">
        <v>80</v>
      </c>
      <c r="AC17" s="391" t="s">
        <v>146</v>
      </c>
      <c r="AD17" s="392"/>
      <c r="AE17" s="392"/>
      <c r="AF17" s="232"/>
      <c r="AG17" s="224" t="e">
        <f>IF(VLOOKUP($E$1,ورقة4!$A$2:$BA$15000,47,0)=0,"",(VLOOKUP($E$1,ورقة4!$A$2:$BA$15000,47,0)))</f>
        <v>#N/A</v>
      </c>
      <c r="AH17" s="387"/>
      <c r="AI17" s="387"/>
      <c r="AJ17" s="387"/>
      <c r="AK17" s="230"/>
      <c r="AL17" s="78" t="e">
        <f t="shared" si="7"/>
        <v>#N/A</v>
      </c>
      <c r="AM17" s="1">
        <v>10</v>
      </c>
      <c r="AU17">
        <v>13</v>
      </c>
      <c r="AV17">
        <f>L13</f>
        <v>0</v>
      </c>
      <c r="AW17" t="str">
        <f>M13</f>
        <v>اكتب اسم المادة الاختيارية</v>
      </c>
      <c r="AX17">
        <f t="shared" si="6"/>
        <v>0</v>
      </c>
      <c r="AY17" t="e">
        <f t="shared" si="6"/>
        <v>#N/A</v>
      </c>
      <c r="BF17" t="s">
        <v>161</v>
      </c>
      <c r="BG17" s="152">
        <v>154</v>
      </c>
    </row>
    <row r="18" spans="1:80" ht="34.5" customHeight="1" thickTop="1" thickBot="1" x14ac:dyDescent="0.3">
      <c r="A18" s="44" t="e">
        <f>IF(AND(I18&lt;&gt;"",OR(H18=1,H18=2,H18=3)),15,"")</f>
        <v>#N/A</v>
      </c>
      <c r="B18" s="94" t="e">
        <f t="shared" si="8"/>
        <v>#N/A</v>
      </c>
      <c r="C18" s="41">
        <v>53</v>
      </c>
      <c r="D18" s="326" t="s">
        <v>122</v>
      </c>
      <c r="E18" s="327"/>
      <c r="F18" s="327"/>
      <c r="G18" s="327"/>
      <c r="H18" s="233"/>
      <c r="I18" s="148" t="e">
        <f>IF(VLOOKUP($E$1,ورقة4!$A$2:$BA$15000,17,0)=0,"",(VLOOKUP($E$1,ورقة4!$A$2:$BA$15000,17,0)))</f>
        <v>#N/A</v>
      </c>
      <c r="J18" s="102" t="e">
        <f>IF(AND(Q18&lt;&gt;"",OR(P18=1,P18=2,P18=3)),22,"")</f>
        <v>#N/A</v>
      </c>
      <c r="K18" s="94" t="e">
        <f t="shared" si="9"/>
        <v>#N/A</v>
      </c>
      <c r="L18" s="41">
        <v>59</v>
      </c>
      <c r="M18" s="350" t="s">
        <v>149</v>
      </c>
      <c r="N18" s="351"/>
      <c r="O18" s="351"/>
      <c r="P18" s="233"/>
      <c r="Q18" s="146" t="e">
        <f>IF(VLOOKUP($E$1,ورقة4!$A$2:$BA$15000,24,0)=0,"",(VLOOKUP($E$1,ورقة4!$A$2:$BA$15000,24,0)))</f>
        <v>#N/A</v>
      </c>
      <c r="R18" s="91" t="e">
        <f>IF(AND(Y18&lt;&gt;"",OR(X18=1,X18=2,X18=3)),40,"")</f>
        <v>#N/A</v>
      </c>
      <c r="S18" s="94" t="e">
        <f t="shared" si="10"/>
        <v>#N/A</v>
      </c>
      <c r="T18" s="136">
        <v>75</v>
      </c>
      <c r="U18" s="352" t="s">
        <v>141</v>
      </c>
      <c r="V18" s="353"/>
      <c r="W18" s="353"/>
      <c r="X18" s="233"/>
      <c r="Y18" s="146" t="e">
        <f>IF(VLOOKUP($E$1,ورقة4!$A$2:$BA$15000,42,0)=0,"",(VLOOKUP($E$1,ورقة4!$A$2:$BA$15000,42,0)))</f>
        <v>#N/A</v>
      </c>
      <c r="Z18" s="102" t="e">
        <f>IF(AND(AG18&lt;&gt;"",OR(AF18=1,AF18=2,AF18=3)),46,"")</f>
        <v>#N/A</v>
      </c>
      <c r="AA18" s="94" t="e">
        <f t="shared" si="11"/>
        <v>#N/A</v>
      </c>
      <c r="AB18" s="136">
        <v>81</v>
      </c>
      <c r="AC18" s="389" t="s">
        <v>150</v>
      </c>
      <c r="AD18" s="390"/>
      <c r="AE18" s="390"/>
      <c r="AF18" s="233"/>
      <c r="AG18" s="221" t="e">
        <f>IF(VLOOKUP($E$1,ورقة4!$A$2:$BA$15000,48,0)=0,"",(VLOOKUP($E$1,ورقة4!$A$2:$BA$15000,48,0)))</f>
        <v>#N/A</v>
      </c>
      <c r="AH18" s="387"/>
      <c r="AI18" s="387"/>
      <c r="AJ18" s="387"/>
      <c r="AK18" s="230"/>
      <c r="AL18" s="78" t="e">
        <f t="shared" si="7"/>
        <v>#N/A</v>
      </c>
      <c r="AM18" s="1">
        <v>11</v>
      </c>
      <c r="AU18">
        <v>14</v>
      </c>
      <c r="AV18">
        <v>52</v>
      </c>
      <c r="AW18" t="s">
        <v>121</v>
      </c>
      <c r="AX18">
        <f t="shared" ref="AX18:AY24" si="12">H17</f>
        <v>0</v>
      </c>
      <c r="AY18" t="e">
        <f t="shared" si="12"/>
        <v>#N/A</v>
      </c>
      <c r="BF18" t="s">
        <v>229</v>
      </c>
      <c r="BG18" s="152">
        <v>155</v>
      </c>
    </row>
    <row r="19" spans="1:80" ht="30.75" customHeight="1" thickTop="1" thickBot="1" x14ac:dyDescent="0.3">
      <c r="A19" s="44" t="e">
        <f>IF(AND(I19&lt;&gt;"",OR(H19=1,H19=2,H19=3)),16,"")</f>
        <v>#N/A</v>
      </c>
      <c r="B19" s="94" t="e">
        <f t="shared" si="8"/>
        <v>#N/A</v>
      </c>
      <c r="C19" s="41">
        <v>54</v>
      </c>
      <c r="D19" s="346" t="s">
        <v>123</v>
      </c>
      <c r="E19" s="347"/>
      <c r="F19" s="347"/>
      <c r="G19" s="347"/>
      <c r="H19" s="233"/>
      <c r="I19" s="148" t="e">
        <f>IF(VLOOKUP($E$1,ورقة4!$A$2:$BA$15000,18,0)=0,"",(VLOOKUP($E$1,ورقة4!$A$2:$BA$15000,18,0)))</f>
        <v>#N/A</v>
      </c>
      <c r="J19" s="102" t="e">
        <f>IF(AND(Q19&lt;&gt;"",OR(P19=1,P19=2,P19=3)),23,"")</f>
        <v>#N/A</v>
      </c>
      <c r="K19" s="94" t="e">
        <f t="shared" si="9"/>
        <v>#N/A</v>
      </c>
      <c r="L19" s="41">
        <v>60</v>
      </c>
      <c r="M19" s="350" t="s">
        <v>128</v>
      </c>
      <c r="N19" s="351"/>
      <c r="O19" s="351"/>
      <c r="P19" s="233"/>
      <c r="Q19" s="146" t="e">
        <f>IF(VLOOKUP($E$1,ورقة4!$A$2:$BA$15000,25,0)=0,"",(VLOOKUP($E$1,ورقة4!$A$2:$BA$15000,25,0)))</f>
        <v>#N/A</v>
      </c>
      <c r="R19" s="91" t="e">
        <f>IF(AND(Y19&lt;&gt;"",OR(X19=1,X19=2,X19=3)),41,"")</f>
        <v>#N/A</v>
      </c>
      <c r="S19" s="94" t="e">
        <f t="shared" si="10"/>
        <v>#N/A</v>
      </c>
      <c r="T19" s="136">
        <v>76</v>
      </c>
      <c r="U19" s="354" t="s">
        <v>142</v>
      </c>
      <c r="V19" s="347"/>
      <c r="W19" s="347"/>
      <c r="X19" s="233"/>
      <c r="Y19" s="146" t="e">
        <f>IF(VLOOKUP($E$1,ورقة4!$A$2:$BA$15000,43,0)=0,"",(VLOOKUP($E$1,ورقة4!$A$2:$BA$15000,43,0)))</f>
        <v>#N/A</v>
      </c>
      <c r="Z19" s="102" t="e">
        <f>IF(AND(AG19&lt;&gt;"",OR(AF19=1,AF19=2,AF19=3)),47,"")</f>
        <v>#N/A</v>
      </c>
      <c r="AA19" s="94" t="e">
        <f t="shared" si="11"/>
        <v>#N/A</v>
      </c>
      <c r="AB19" s="136">
        <v>82</v>
      </c>
      <c r="AC19" s="354" t="s">
        <v>147</v>
      </c>
      <c r="AD19" s="347"/>
      <c r="AE19" s="347"/>
      <c r="AF19" s="233"/>
      <c r="AG19" s="221" t="e">
        <f>IF(VLOOKUP($E$1,ورقة4!$A$2:$BA$15000,49,0)=0,"",(VLOOKUP($E$1,ورقة4!$A$2:$BA$15000,49,0)))</f>
        <v>#N/A</v>
      </c>
      <c r="AH19" s="387"/>
      <c r="AI19" s="387"/>
      <c r="AJ19" s="387"/>
      <c r="AK19" s="230"/>
      <c r="AL19" s="78" t="e">
        <f t="shared" si="7"/>
        <v>#N/A</v>
      </c>
      <c r="AM19" s="1">
        <v>12</v>
      </c>
      <c r="AU19">
        <v>15</v>
      </c>
      <c r="AV19">
        <v>53</v>
      </c>
      <c r="AW19" t="s">
        <v>122</v>
      </c>
      <c r="AX19">
        <f t="shared" si="12"/>
        <v>0</v>
      </c>
      <c r="AY19" t="e">
        <f t="shared" si="12"/>
        <v>#N/A</v>
      </c>
      <c r="BF19" t="s">
        <v>153</v>
      </c>
    </row>
    <row r="20" spans="1:80" ht="30.75" customHeight="1" thickTop="1" thickBot="1" x14ac:dyDescent="0.35">
      <c r="A20" s="44" t="e">
        <f>IF(AND(I20&lt;&gt;"",OR(H20=1,H20=2,H20=3)),17,"")</f>
        <v>#N/A</v>
      </c>
      <c r="B20" s="94" t="e">
        <f t="shared" si="8"/>
        <v>#N/A</v>
      </c>
      <c r="C20" s="41">
        <v>55</v>
      </c>
      <c r="D20" s="346" t="s">
        <v>124</v>
      </c>
      <c r="E20" s="347"/>
      <c r="F20" s="347"/>
      <c r="G20" s="347"/>
      <c r="H20" s="233"/>
      <c r="I20" s="148" t="e">
        <f>IF(VLOOKUP($E$1,ورقة4!$A$2:$BA$15000,19,0)=0,"",(VLOOKUP($E$1,ورقة4!$A$2:$BA$15000,19,0)))</f>
        <v>#N/A</v>
      </c>
      <c r="J20" s="102" t="e">
        <f>IF(AND(Q20&lt;&gt;"",OR(P20=1,P20=2,P20=3)),24,"")</f>
        <v>#N/A</v>
      </c>
      <c r="K20" s="94" t="e">
        <f t="shared" si="9"/>
        <v>#N/A</v>
      </c>
      <c r="L20" s="41">
        <v>61</v>
      </c>
      <c r="M20" s="346" t="s">
        <v>129</v>
      </c>
      <c r="N20" s="347"/>
      <c r="O20" s="347"/>
      <c r="P20" s="233"/>
      <c r="Q20" s="146" t="e">
        <f>IF(VLOOKUP($E$1,ورقة4!$A$2:$BA$15000,26,0)=0,"",(VLOOKUP($E$1,ورقة4!$A$2:$BA$15000,26,0)))</f>
        <v>#N/A</v>
      </c>
      <c r="R20" s="91" t="e">
        <f>IF(AND(Y20&lt;&gt;"",OR(X20=1,X20=2,X20=3)),42,"")</f>
        <v>#N/A</v>
      </c>
      <c r="S20" s="94" t="e">
        <f t="shared" si="10"/>
        <v>#N/A</v>
      </c>
      <c r="T20" s="136">
        <v>77</v>
      </c>
      <c r="U20" s="352" t="s">
        <v>143</v>
      </c>
      <c r="V20" s="353"/>
      <c r="W20" s="353"/>
      <c r="X20" s="233"/>
      <c r="Y20" s="146" t="e">
        <f>IF(VLOOKUP($E$1,ورقة4!$A$2:$BA$15000,44,0)=0,"",(VLOOKUP($E$1,ورقة4!$A$2:$BA$15000,44,0)))</f>
        <v>#N/A</v>
      </c>
      <c r="Z20" s="102" t="e">
        <f>IF(AND(AG20&lt;&gt;"",OR(AF20=1,AF20=2,AF20=3)),48,"")</f>
        <v>#N/A</v>
      </c>
      <c r="AA20" s="94" t="e">
        <f t="shared" si="11"/>
        <v>#N/A</v>
      </c>
      <c r="AB20" s="136">
        <v>83</v>
      </c>
      <c r="AC20" s="352" t="s">
        <v>148</v>
      </c>
      <c r="AD20" s="353"/>
      <c r="AE20" s="353"/>
      <c r="AF20" s="233"/>
      <c r="AG20" s="221" t="e">
        <f>IF(VLOOKUP($E$1,ورقة4!$A$2:$BA$15000,50,0)=0,"",(VLOOKUP($E$1,ورقة4!$A$2:$BA$15000,50,0)))</f>
        <v>#N/A</v>
      </c>
      <c r="AH20" s="117"/>
      <c r="AI20" s="117"/>
      <c r="AJ20" s="117"/>
      <c r="AK20" s="230"/>
      <c r="AL20" s="78" t="e">
        <f t="shared" si="7"/>
        <v>#N/A</v>
      </c>
      <c r="AM20" s="1">
        <v>13</v>
      </c>
      <c r="AU20">
        <v>16</v>
      </c>
      <c r="AV20">
        <v>54</v>
      </c>
      <c r="AW20" t="s">
        <v>123</v>
      </c>
      <c r="AX20">
        <f t="shared" si="12"/>
        <v>0</v>
      </c>
      <c r="AY20" t="e">
        <f t="shared" si="12"/>
        <v>#N/A</v>
      </c>
      <c r="BF20" t="s">
        <v>167</v>
      </c>
      <c r="BG20" s="152">
        <v>157</v>
      </c>
    </row>
    <row r="21" spans="1:80" ht="26.25" customHeight="1" thickTop="1" thickBot="1" x14ac:dyDescent="0.35">
      <c r="A21" s="44" t="e">
        <f>IF(AND(I21&lt;&gt;"",OR(H21=1,H21=2,H21=3)),18,"")</f>
        <v>#N/A</v>
      </c>
      <c r="B21" s="94" t="e">
        <f t="shared" si="8"/>
        <v>#N/A</v>
      </c>
      <c r="C21" s="41">
        <v>56</v>
      </c>
      <c r="D21" s="326" t="s">
        <v>125</v>
      </c>
      <c r="E21" s="327"/>
      <c r="F21" s="327"/>
      <c r="G21" s="327"/>
      <c r="H21" s="233"/>
      <c r="I21" s="148" t="e">
        <f>IF(VLOOKUP($E$1,ورقة4!$A$2:$BA$15000,20,0)=0,"",(VLOOKUP($E$1,ورقة4!$A$2:$BA$15000,20,0)))</f>
        <v>#N/A</v>
      </c>
      <c r="J21" s="102" t="e">
        <f>IF(AND(Q21&lt;&gt;"",OR(P21=1,P21=2,P21=3)),25,"")</f>
        <v>#N/A</v>
      </c>
      <c r="K21" s="94" t="e">
        <f t="shared" si="9"/>
        <v>#N/A</v>
      </c>
      <c r="L21" s="41">
        <v>62</v>
      </c>
      <c r="M21" s="346" t="s">
        <v>120</v>
      </c>
      <c r="N21" s="347"/>
      <c r="O21" s="347"/>
      <c r="P21" s="233"/>
      <c r="Q21" s="146" t="e">
        <f>IF(VLOOKUP($E$1,ورقة4!$A$2:$BA$15000,27,0)=0,"",(VLOOKUP($E$1,ورقة4!$A$2:$BA$15000,27,0)))</f>
        <v>#N/A</v>
      </c>
      <c r="R21" s="91" t="e">
        <f>IF(AND(Y21&lt;&gt;"",OR(X21=1,X21=2,X21=3)),43,"")</f>
        <v>#N/A</v>
      </c>
      <c r="S21" s="94" t="e">
        <f t="shared" si="10"/>
        <v>#N/A</v>
      </c>
      <c r="T21" s="136">
        <v>78</v>
      </c>
      <c r="U21" s="352" t="s">
        <v>144</v>
      </c>
      <c r="V21" s="353"/>
      <c r="W21" s="353"/>
      <c r="X21" s="233"/>
      <c r="Y21" s="146" t="e">
        <f>IF(VLOOKUP($E$1,ورقة4!$A$2:$BA$15000,45,0)=0,"",(VLOOKUP($E$1,ورقة4!$A$2:$BA$15000,45,0)))</f>
        <v>#N/A</v>
      </c>
      <c r="Z21" s="102" t="e">
        <f>IF(AND(AG21&lt;&gt;"",OR(AF21=1,AF21=2,AF21=3)),49,"")</f>
        <v>#N/A</v>
      </c>
      <c r="AA21" s="94" t="e">
        <f t="shared" si="11"/>
        <v>#N/A</v>
      </c>
      <c r="AB21" s="136">
        <v>84</v>
      </c>
      <c r="AC21" s="357" t="s">
        <v>120</v>
      </c>
      <c r="AD21" s="358"/>
      <c r="AE21" s="358"/>
      <c r="AF21" s="233"/>
      <c r="AG21" s="221" t="e">
        <f>IF(VLOOKUP($E$1,ورقة4!$A$2:$BA$15000,51,0)=0,"",(VLOOKUP($E$1,ورقة4!$A$2:$BA$15000,51,0)))</f>
        <v>#N/A</v>
      </c>
      <c r="AH21" s="117"/>
      <c r="AI21" s="117"/>
      <c r="AJ21" s="117"/>
      <c r="AK21" s="230"/>
      <c r="AL21" s="78" t="e">
        <f t="shared" ref="AL21:AL27" si="13">IF(A17&lt;&gt;"",A17,"")</f>
        <v>#N/A</v>
      </c>
      <c r="AM21" s="1">
        <v>14</v>
      </c>
      <c r="AU21">
        <v>17</v>
      </c>
      <c r="AV21">
        <v>55</v>
      </c>
      <c r="AW21" t="s">
        <v>124</v>
      </c>
      <c r="AX21">
        <f t="shared" si="12"/>
        <v>0</v>
      </c>
      <c r="AY21" t="e">
        <f t="shared" si="12"/>
        <v>#N/A</v>
      </c>
      <c r="BF21" t="s">
        <v>168</v>
      </c>
      <c r="BG21" s="152">
        <v>158</v>
      </c>
    </row>
    <row r="22" spans="1:80" ht="20.25" customHeight="1" thickTop="1" thickBot="1" x14ac:dyDescent="0.35">
      <c r="A22" s="44" t="e">
        <f>IF(AND(I22&lt;&gt;"",OR(H22=1,H22=2,H22=3)),19,"")</f>
        <v>#N/A</v>
      </c>
      <c r="B22" s="94" t="e">
        <f t="shared" si="8"/>
        <v>#N/A</v>
      </c>
      <c r="C22" s="41">
        <v>57</v>
      </c>
      <c r="D22" s="326" t="s">
        <v>126</v>
      </c>
      <c r="E22" s="327"/>
      <c r="F22" s="327"/>
      <c r="G22" s="327"/>
      <c r="H22" s="233"/>
      <c r="I22" s="148" t="e">
        <f>IF(VLOOKUP($E$1,ورقة4!$A$2:$BA$15000,21,0)=0,"",(VLOOKUP($E$1,ورقة4!$A$2:$BA$15000,21,0)))</f>
        <v>#N/A</v>
      </c>
      <c r="J22" s="102" t="e">
        <f>IF(AND(Q22&lt;&gt;"",OR(P22=1,P22=2,P22=3)),26,"")</f>
        <v>#N/A</v>
      </c>
      <c r="K22" s="94" t="e">
        <f t="shared" si="9"/>
        <v>#N/A</v>
      </c>
      <c r="L22" s="134">
        <f>IFERROR(VLOOKUP(M22,$BF$5:$BG$34,2,0),"")</f>
        <v>0</v>
      </c>
      <c r="M22" s="328" t="s">
        <v>153</v>
      </c>
      <c r="N22" s="329"/>
      <c r="O22" s="329"/>
      <c r="P22" s="233"/>
      <c r="Q22" s="146" t="e">
        <f>IF(VLOOKUP($E$1,ورقة4!$A$2:$BA$15000,28,0)=0,"",(VLOOKUP($E$1,ورقة4!$A$2:$BA$15000,28,0)))</f>
        <v>#N/A</v>
      </c>
      <c r="R22" s="91" t="e">
        <f>IF(AND(Y22&lt;&gt;"",OR(X22=1,X22=2,X22=3)),44,"")</f>
        <v>#N/A</v>
      </c>
      <c r="S22" s="94" t="e">
        <f t="shared" si="10"/>
        <v>#N/A</v>
      </c>
      <c r="T22" s="137">
        <v>79</v>
      </c>
      <c r="U22" s="360" t="s">
        <v>145</v>
      </c>
      <c r="V22" s="361"/>
      <c r="W22" s="361"/>
      <c r="X22" s="233"/>
      <c r="Y22" s="146" t="e">
        <f>IF(VLOOKUP($E$1,ورقة4!$A$2:$BA$15000,46,0)=0,"",(VLOOKUP($E$1,ورقة4!$A$2:$BA$15000,46,0)))</f>
        <v>#N/A</v>
      </c>
      <c r="Z22" s="102" t="e">
        <f>IF(AND(AG22&lt;&gt;"",OR(AF22=1,AF22=2,AF22=3)),50,"")</f>
        <v>#N/A</v>
      </c>
      <c r="AA22" s="94" t="e">
        <f t="shared" si="11"/>
        <v>#N/A</v>
      </c>
      <c r="AB22" s="137">
        <f>IFERROR(VLOOKUP(AC22,$BF$5:$BG$34,2,0),"")</f>
        <v>0</v>
      </c>
      <c r="AC22" s="363" t="s">
        <v>153</v>
      </c>
      <c r="AD22" s="364"/>
      <c r="AE22" s="364"/>
      <c r="AF22" s="233"/>
      <c r="AG22" s="221" t="e">
        <f>IF(VLOOKUP($E$1,ورقة4!$A$2:$BA$15000,52,0)=0,"",(VLOOKUP($E$1,ورقة4!$A$2:$BA$15000,52,0)))</f>
        <v>#N/A</v>
      </c>
      <c r="AH22" s="117"/>
      <c r="AI22" s="117"/>
      <c r="AJ22" s="117"/>
      <c r="AK22" s="230"/>
      <c r="AL22" s="78" t="e">
        <f t="shared" si="13"/>
        <v>#N/A</v>
      </c>
      <c r="AM22" s="1">
        <v>15</v>
      </c>
      <c r="AU22">
        <v>18</v>
      </c>
      <c r="AV22">
        <v>56</v>
      </c>
      <c r="AW22" t="s">
        <v>125</v>
      </c>
      <c r="AX22">
        <f t="shared" si="12"/>
        <v>0</v>
      </c>
      <c r="AY22" t="e">
        <f t="shared" si="12"/>
        <v>#N/A</v>
      </c>
      <c r="BF22" t="s">
        <v>165</v>
      </c>
      <c r="BG22" s="152">
        <v>159</v>
      </c>
    </row>
    <row r="23" spans="1:80" ht="16.2" thickBot="1" x14ac:dyDescent="0.35">
      <c r="A23" s="44" t="e">
        <f>IF(AND(I23&lt;&gt;"",OR(H23=1,H23=2,H23=3)),20,"")</f>
        <v>#N/A</v>
      </c>
      <c r="B23" s="94" t="e">
        <f t="shared" si="8"/>
        <v>#N/A</v>
      </c>
      <c r="C23" s="41">
        <v>201</v>
      </c>
      <c r="D23" s="326" t="s">
        <v>180</v>
      </c>
      <c r="E23" s="327"/>
      <c r="F23" s="327"/>
      <c r="G23" s="327"/>
      <c r="H23" s="233"/>
      <c r="I23" s="148" t="e">
        <f>IF(VLOOKUP($E$1,ورقة4!$A$2:$BA$15000,22,0)=0,"",(VLOOKUP($E$1,ورقة4!$A$2:$BA$15000,22,0)))</f>
        <v>#N/A</v>
      </c>
      <c r="J23" s="102"/>
      <c r="K23" s="206"/>
      <c r="L23" s="126"/>
      <c r="M23" s="132"/>
      <c r="N23" s="132"/>
      <c r="O23" s="132"/>
      <c r="P23" s="31"/>
      <c r="Q23" s="31"/>
      <c r="R23" s="103"/>
      <c r="S23" s="31"/>
      <c r="T23" s="126"/>
      <c r="U23" s="133"/>
      <c r="V23" s="133"/>
      <c r="W23" s="133"/>
      <c r="X23" s="31"/>
      <c r="Y23" s="31"/>
      <c r="Z23" s="103"/>
      <c r="AA23" s="31"/>
      <c r="AB23" s="126"/>
      <c r="AC23" s="127"/>
      <c r="AD23" s="127"/>
      <c r="AE23" s="127"/>
      <c r="AF23" s="34"/>
      <c r="AG23" s="222"/>
      <c r="AH23" s="117"/>
      <c r="AI23" s="117"/>
      <c r="AJ23" s="117"/>
      <c r="AK23" s="230"/>
      <c r="AL23" s="78" t="e">
        <f t="shared" si="13"/>
        <v>#N/A</v>
      </c>
      <c r="AM23" s="1">
        <v>16</v>
      </c>
      <c r="AU23">
        <v>19</v>
      </c>
      <c r="AV23">
        <v>57</v>
      </c>
      <c r="AW23" t="s">
        <v>126</v>
      </c>
      <c r="AX23">
        <f t="shared" si="12"/>
        <v>0</v>
      </c>
      <c r="AY23" t="e">
        <f t="shared" si="12"/>
        <v>#N/A</v>
      </c>
      <c r="BF23" t="s">
        <v>171</v>
      </c>
      <c r="BG23" s="152">
        <v>160</v>
      </c>
    </row>
    <row r="24" spans="1:80" ht="16.8" hidden="1" thickTop="1" thickBot="1" x14ac:dyDescent="0.35">
      <c r="A24" s="44"/>
      <c r="B24" s="94" t="e">
        <f>SUM(B17:B23)</f>
        <v>#N/A</v>
      </c>
      <c r="C24" s="50"/>
      <c r="D24" s="51"/>
      <c r="E24" s="51"/>
      <c r="F24" s="51"/>
      <c r="G24" s="128">
        <f>COUNTIFS(I17:I23,$U$30,H17:H23,1)</f>
        <v>0</v>
      </c>
      <c r="H24" s="96">
        <f>COUNTIFS(I17:I23,$AA$30,H17:H23,1)</f>
        <v>0</v>
      </c>
      <c r="I24" s="45">
        <f>COUNTIFS(I17:I23,$AF$30,H17:H23,1)</f>
        <v>0</v>
      </c>
      <c r="J24" s="95" t="str">
        <f>IF(AND(Q24&lt;&gt;"",P24=1),19,"")</f>
        <v/>
      </c>
      <c r="K24" s="94" t="e">
        <f>SUM(K17:K22)</f>
        <v>#N/A</v>
      </c>
      <c r="L24" s="50"/>
      <c r="M24" s="51"/>
      <c r="N24" s="51"/>
      <c r="O24" s="128">
        <f>COUNTIFS(Q17:Q23,$U$30,P17:P23,1)</f>
        <v>0</v>
      </c>
      <c r="P24" s="96">
        <f>COUNTIFS(Q17:Q23,$AA$30,P17:P23,1)</f>
        <v>0</v>
      </c>
      <c r="Q24" s="45">
        <f>COUNTIFS(Q17:Q23,$AF$30,P17:P23,1)</f>
        <v>0</v>
      </c>
      <c r="R24" s="98"/>
      <c r="S24" s="31" t="e">
        <f>SUM(S17:S22)</f>
        <v>#N/A</v>
      </c>
      <c r="T24" s="42"/>
      <c r="U24" s="47"/>
      <c r="V24" s="47"/>
      <c r="W24" s="128">
        <f>COUNTIFS(Y17:Y23,$U$30,X17:X23,1)</f>
        <v>0</v>
      </c>
      <c r="X24" s="96">
        <f>COUNTIFS(Y17:Y23,$AA$30,X17:X23,1)</f>
        <v>0</v>
      </c>
      <c r="Y24" s="45">
        <f>COUNTIFS(Y17:Y23,$AF$30,X17:X23,1)</f>
        <v>0</v>
      </c>
      <c r="Z24" s="81"/>
      <c r="AA24" s="31" t="e">
        <f>SUM(AA17:AA22)</f>
        <v>#N/A</v>
      </c>
      <c r="AB24" s="47"/>
      <c r="AC24" s="47"/>
      <c r="AD24" s="47"/>
      <c r="AE24" s="128">
        <f>COUNTIFS(AG17:AG23,$U$30,AF17:AF23,1)</f>
        <v>0</v>
      </c>
      <c r="AF24" s="96">
        <f>COUNTIFS(AG17:AG23,$AA$30,AF17:AF23,1)</f>
        <v>0</v>
      </c>
      <c r="AG24" s="223">
        <f>COUNTIFS(AG17:AG23,$AF$30,AF17:AF23,1)</f>
        <v>0</v>
      </c>
      <c r="AH24" s="117"/>
      <c r="AI24" s="117"/>
      <c r="AJ24" s="117"/>
      <c r="AK24" s="230"/>
      <c r="AL24" s="78" t="e">
        <f t="shared" si="13"/>
        <v>#N/A</v>
      </c>
      <c r="AM24" s="1">
        <v>17</v>
      </c>
      <c r="AU24">
        <v>20</v>
      </c>
      <c r="AV24">
        <v>201</v>
      </c>
      <c r="AW24" t="s">
        <v>180</v>
      </c>
      <c r="AX24">
        <f t="shared" si="12"/>
        <v>0</v>
      </c>
      <c r="AY24" t="e">
        <f t="shared" si="12"/>
        <v>#N/A</v>
      </c>
      <c r="BF24" t="s">
        <v>170</v>
      </c>
      <c r="BG24" s="152">
        <v>162</v>
      </c>
    </row>
    <row r="25" spans="1:80" ht="16.8" hidden="1" thickTop="1" thickBot="1" x14ac:dyDescent="0.35">
      <c r="B25" s="23"/>
      <c r="D25" s="39"/>
      <c r="E25" s="39"/>
      <c r="F25" s="39"/>
      <c r="G25" s="39"/>
      <c r="H25" s="23"/>
      <c r="I25" s="23"/>
      <c r="J25" s="23"/>
      <c r="K25" s="94"/>
      <c r="P25" s="96"/>
      <c r="Q25" s="45"/>
      <c r="R25" s="98"/>
      <c r="S25" s="94"/>
      <c r="T25" s="35" t="e">
        <f>B15+B24+K15+K24+S15+S24+AA15+AA24</f>
        <v>#N/A</v>
      </c>
      <c r="U25" s="36"/>
      <c r="V25" s="36"/>
      <c r="W25" s="36"/>
      <c r="X25" s="99"/>
      <c r="Y25" s="46"/>
      <c r="Z25" s="37"/>
      <c r="AA25" s="31"/>
      <c r="AB25" s="36"/>
      <c r="AC25" s="36"/>
      <c r="AD25" s="36"/>
      <c r="AE25" s="36"/>
      <c r="AF25" s="99"/>
      <c r="AG25" s="46"/>
      <c r="AH25" s="117"/>
      <c r="AI25" s="117"/>
      <c r="AJ25" s="117"/>
      <c r="AK25" s="230"/>
      <c r="AL25" s="78" t="e">
        <f t="shared" si="13"/>
        <v>#N/A</v>
      </c>
      <c r="AM25" s="1">
        <v>18</v>
      </c>
      <c r="AU25">
        <v>21</v>
      </c>
      <c r="AV25">
        <v>58</v>
      </c>
      <c r="AW25" t="s">
        <v>127</v>
      </c>
      <c r="AX25">
        <f t="shared" ref="AX25:AY30" si="14">P17</f>
        <v>0</v>
      </c>
      <c r="AY25" t="e">
        <f t="shared" si="14"/>
        <v>#N/A</v>
      </c>
      <c r="BF25" t="s">
        <v>172</v>
      </c>
      <c r="BG25" s="152">
        <v>164</v>
      </c>
    </row>
    <row r="26" spans="1:80" ht="16.8" hidden="1" thickTop="1" thickBot="1" x14ac:dyDescent="0.3">
      <c r="S26" s="94"/>
      <c r="AH26" s="230"/>
      <c r="AI26" s="230"/>
      <c r="AJ26" s="230"/>
      <c r="AK26" s="230"/>
      <c r="AL26" s="78" t="e">
        <f t="shared" si="13"/>
        <v>#N/A</v>
      </c>
      <c r="AM26" s="1">
        <v>19</v>
      </c>
      <c r="AU26">
        <v>22</v>
      </c>
      <c r="AV26">
        <v>59</v>
      </c>
      <c r="AW26" t="s">
        <v>149</v>
      </c>
      <c r="AX26">
        <f t="shared" si="14"/>
        <v>0</v>
      </c>
      <c r="AY26" t="e">
        <f t="shared" si="14"/>
        <v>#N/A</v>
      </c>
      <c r="BF26" t="s">
        <v>166</v>
      </c>
      <c r="BG26" s="152">
        <v>165</v>
      </c>
    </row>
    <row r="27" spans="1:80" ht="24" customHeight="1" thickTop="1" thickBot="1" x14ac:dyDescent="0.35">
      <c r="C27" s="325" t="str">
        <f>IF(E3="أنثى","منقطعة عن التسجيل في","منقطع عن التسجيل في")</f>
        <v>منقطع عن التسجيل في</v>
      </c>
      <c r="D27" s="325"/>
      <c r="E27" s="325"/>
      <c r="F27" s="325"/>
      <c r="G27" s="325"/>
      <c r="H27" s="325"/>
      <c r="L27" s="335" t="s">
        <v>25</v>
      </c>
      <c r="M27" s="335"/>
      <c r="N27" s="330" t="e">
        <f>IF(E2="الرابعة حديث",28000,0)</f>
        <v>#N/A</v>
      </c>
      <c r="O27" s="330"/>
      <c r="P27" s="330"/>
      <c r="Q27" s="330"/>
      <c r="R27" s="330"/>
      <c r="T27" s="335" t="s">
        <v>213</v>
      </c>
      <c r="U27" s="335"/>
      <c r="V27" s="335"/>
      <c r="W27" s="336">
        <f>IF(F5=AO4,COUNT(B28:B32)*1500,IF(OR(F5=AO1,F5=AO2,F5=AO5,F5=AO8),COUNT(B28:B32)*12000,IF(OR(F5=AO3,F5=AO6),COUNT(B28:B32)*7500,COUNT(B28:B32)*15000)))</f>
        <v>0</v>
      </c>
      <c r="X27" s="336"/>
      <c r="Y27" s="336"/>
      <c r="Z27" s="335" t="s">
        <v>71</v>
      </c>
      <c r="AA27" s="335"/>
      <c r="AB27" s="335"/>
      <c r="AC27" s="335"/>
      <c r="AD27" s="336">
        <f>IF(W27=0,37000)</f>
        <v>37000</v>
      </c>
      <c r="AE27" s="336"/>
      <c r="AF27" s="336"/>
      <c r="AG27" s="336"/>
      <c r="AH27" s="230"/>
      <c r="AI27" s="230"/>
      <c r="AJ27" s="230"/>
      <c r="AK27" s="230"/>
      <c r="AL27" s="78" t="e">
        <f t="shared" si="13"/>
        <v>#N/A</v>
      </c>
      <c r="AM27" s="1">
        <v>20</v>
      </c>
      <c r="AU27">
        <v>23</v>
      </c>
      <c r="AV27">
        <v>60</v>
      </c>
      <c r="AW27" t="s">
        <v>128</v>
      </c>
      <c r="AX27">
        <f t="shared" si="14"/>
        <v>0</v>
      </c>
      <c r="AY27" t="e">
        <f t="shared" si="14"/>
        <v>#N/A</v>
      </c>
      <c r="BF27" t="s">
        <v>169</v>
      </c>
      <c r="BG27" s="152">
        <v>166</v>
      </c>
    </row>
    <row r="28" spans="1:80" ht="26.4" customHeight="1" thickTop="1" thickBot="1" x14ac:dyDescent="0.35">
      <c r="B28" s="1" t="str">
        <f>IFERROR(SMALL($C$35:$C$39,AM8),"")</f>
        <v/>
      </c>
      <c r="C28" s="325" t="str">
        <f>IF(B28&lt;&gt;"",VLOOKUP(B28,$C$35:$D$39,2,0),"")</f>
        <v/>
      </c>
      <c r="D28" s="325"/>
      <c r="E28" s="325"/>
      <c r="F28" s="325"/>
      <c r="G28" s="325"/>
      <c r="H28" s="325"/>
      <c r="L28" s="332" t="s">
        <v>215</v>
      </c>
      <c r="M28" s="332"/>
      <c r="N28" s="330" t="e">
        <f>T25</f>
        <v>#N/A</v>
      </c>
      <c r="O28" s="330"/>
      <c r="P28" s="330"/>
      <c r="Q28" s="330"/>
      <c r="R28" s="330"/>
      <c r="T28" s="335" t="s">
        <v>23</v>
      </c>
      <c r="U28" s="335"/>
      <c r="V28" s="335"/>
      <c r="W28" s="362" t="e">
        <f>N27+W27+AD27+N28-AB5</f>
        <v>#N/A</v>
      </c>
      <c r="X28" s="362"/>
      <c r="Y28" s="120"/>
      <c r="Z28" s="138"/>
      <c r="AA28" s="138"/>
      <c r="AB28" s="138"/>
      <c r="AC28" s="138"/>
      <c r="AD28" s="138"/>
      <c r="AE28" s="138"/>
      <c r="AF28" s="138"/>
      <c r="AG28" s="121"/>
      <c r="AH28" s="230"/>
      <c r="AI28" s="230"/>
      <c r="AJ28" s="230"/>
      <c r="AK28" s="230"/>
      <c r="AL28" s="78" t="e">
        <f t="shared" ref="AL28:AL33" si="15">IF(J17&lt;&gt;"",J17,"")</f>
        <v>#N/A</v>
      </c>
      <c r="AM28" s="1">
        <v>21</v>
      </c>
      <c r="AU28">
        <v>24</v>
      </c>
      <c r="AV28">
        <v>61</v>
      </c>
      <c r="AW28" t="s">
        <v>129</v>
      </c>
      <c r="AX28">
        <f t="shared" si="14"/>
        <v>0</v>
      </c>
      <c r="AY28" t="e">
        <f t="shared" si="14"/>
        <v>#N/A</v>
      </c>
      <c r="BF28" t="s">
        <v>153</v>
      </c>
    </row>
    <row r="29" spans="1:80" ht="26.4" customHeight="1" thickTop="1" thickBot="1" x14ac:dyDescent="0.35">
      <c r="B29" s="1" t="str">
        <f t="shared" ref="B29:B32" si="16">IFERROR(SMALL($C$35:$C$39,AM9),"")</f>
        <v/>
      </c>
      <c r="C29" s="325" t="str">
        <f t="shared" ref="C29:C31" si="17">IF(B29&lt;&gt;"",VLOOKUP(B29,$C$35:$D$39,2,0),"")</f>
        <v/>
      </c>
      <c r="D29" s="325"/>
      <c r="E29" s="325"/>
      <c r="F29" s="325"/>
      <c r="G29" s="325"/>
      <c r="H29" s="325"/>
      <c r="L29" s="335" t="s">
        <v>20</v>
      </c>
      <c r="M29" s="335"/>
      <c r="N29" s="331" t="s">
        <v>82</v>
      </c>
      <c r="O29" s="331"/>
      <c r="P29" s="331"/>
      <c r="Q29" s="331"/>
      <c r="R29" s="331"/>
      <c r="T29" s="335" t="s">
        <v>24</v>
      </c>
      <c r="U29" s="335"/>
      <c r="V29" s="335"/>
      <c r="W29" s="337" t="e">
        <f>IF(N29="نعم",(الإستمارة!T1+الإستمارة!T2)+AD27+(W28-(الإستمارة!T1+الإستمارة!T2)-AD27)/2,W28)</f>
        <v>#N/A</v>
      </c>
      <c r="X29" s="337"/>
      <c r="Y29" s="337"/>
      <c r="Z29" s="335" t="s">
        <v>26</v>
      </c>
      <c r="AA29" s="335"/>
      <c r="AB29" s="335"/>
      <c r="AC29" s="335"/>
      <c r="AD29" s="336" t="e">
        <f>W28-W29</f>
        <v>#N/A</v>
      </c>
      <c r="AE29" s="336"/>
      <c r="AF29" s="336"/>
      <c r="AG29" s="336"/>
      <c r="AH29" s="230"/>
      <c r="AI29" s="230"/>
      <c r="AJ29" s="230"/>
      <c r="AK29" s="230"/>
      <c r="AL29" s="78" t="e">
        <f t="shared" si="15"/>
        <v>#N/A</v>
      </c>
      <c r="AM29" s="1">
        <v>22</v>
      </c>
      <c r="AU29">
        <v>25</v>
      </c>
      <c r="AV29">
        <v>62</v>
      </c>
      <c r="AW29" t="s">
        <v>120</v>
      </c>
      <c r="AX29">
        <f t="shared" si="14"/>
        <v>0</v>
      </c>
      <c r="AY29" t="e">
        <f t="shared" si="14"/>
        <v>#N/A</v>
      </c>
      <c r="BF29" t="s">
        <v>174</v>
      </c>
      <c r="BG29" s="152">
        <v>169</v>
      </c>
    </row>
    <row r="30" spans="1:80" ht="26.4" customHeight="1" thickTop="1" thickBot="1" x14ac:dyDescent="0.35">
      <c r="B30" s="1" t="str">
        <f t="shared" si="16"/>
        <v/>
      </c>
      <c r="C30" s="325" t="str">
        <f t="shared" si="17"/>
        <v/>
      </c>
      <c r="D30" s="325"/>
      <c r="E30" s="325"/>
      <c r="F30" s="325"/>
      <c r="G30" s="325"/>
      <c r="H30" s="325"/>
      <c r="P30" s="338" t="s">
        <v>72</v>
      </c>
      <c r="Q30" s="338"/>
      <c r="R30" s="338"/>
      <c r="S30" s="338"/>
      <c r="T30" s="338"/>
      <c r="U30" s="196" t="s">
        <v>224</v>
      </c>
      <c r="V30" s="52">
        <f>G15+O15+W15+AE15+G24+O24+W24+AE24</f>
        <v>0</v>
      </c>
      <c r="W30" s="339" t="s">
        <v>73</v>
      </c>
      <c r="X30" s="339"/>
      <c r="Y30" s="339"/>
      <c r="Z30" s="339"/>
      <c r="AA30" s="196" t="s">
        <v>225</v>
      </c>
      <c r="AB30" s="52">
        <f>H15+P15+X15+AF15+H24+P24+X24+AF24</f>
        <v>0</v>
      </c>
      <c r="AC30" s="334" t="s">
        <v>74</v>
      </c>
      <c r="AD30" s="334"/>
      <c r="AE30" s="334"/>
      <c r="AF30" s="196" t="s">
        <v>226</v>
      </c>
      <c r="AG30" s="52">
        <f>I15+Q15+Y15+AG15+I24+Q24+Y24+AG24</f>
        <v>0</v>
      </c>
      <c r="AH30" s="230"/>
      <c r="AI30" s="230"/>
      <c r="AJ30" s="230"/>
      <c r="AK30" s="230"/>
      <c r="AL30" s="78" t="e">
        <f t="shared" si="15"/>
        <v>#N/A</v>
      </c>
      <c r="AM30" s="1">
        <v>23</v>
      </c>
      <c r="AU30">
        <v>26</v>
      </c>
      <c r="AV30">
        <f>L22</f>
        <v>0</v>
      </c>
      <c r="AW30" t="str">
        <f>M22</f>
        <v>اكتب اسم المادة الاختيارية</v>
      </c>
      <c r="AX30">
        <f t="shared" si="14"/>
        <v>0</v>
      </c>
      <c r="AY30" t="e">
        <f t="shared" si="14"/>
        <v>#N/A</v>
      </c>
      <c r="BF30" t="s">
        <v>173</v>
      </c>
      <c r="BG30" s="152">
        <v>170</v>
      </c>
    </row>
    <row r="31" spans="1:80" s="3" customFormat="1" ht="26.4" customHeight="1" thickTop="1" thickBot="1" x14ac:dyDescent="0.35">
      <c r="B31" s="1" t="str">
        <f t="shared" si="16"/>
        <v/>
      </c>
      <c r="C31" s="325" t="str">
        <f t="shared" si="17"/>
        <v/>
      </c>
      <c r="D31" s="325"/>
      <c r="E31" s="325"/>
      <c r="F31" s="325"/>
      <c r="G31" s="325"/>
      <c r="H31" s="325"/>
      <c r="I31" s="118"/>
      <c r="J31" s="333" t="s">
        <v>214</v>
      </c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118"/>
      <c r="AH31" s="118"/>
      <c r="AI31" s="118"/>
      <c r="AJ31" s="118"/>
      <c r="AK31" s="118"/>
      <c r="AL31" s="78" t="e">
        <f t="shared" si="15"/>
        <v>#N/A</v>
      </c>
      <c r="AM31" s="1">
        <v>24</v>
      </c>
      <c r="AU31">
        <v>27</v>
      </c>
      <c r="AV31">
        <v>63</v>
      </c>
      <c r="AW31" t="s">
        <v>130</v>
      </c>
      <c r="AX31">
        <f t="shared" ref="AX31:AY36" si="18">X8</f>
        <v>0</v>
      </c>
      <c r="AY31" t="e">
        <f t="shared" si="18"/>
        <v>#N/A</v>
      </c>
      <c r="AZ31"/>
      <c r="BA31"/>
      <c r="BB31"/>
      <c r="BC31"/>
      <c r="BD31"/>
      <c r="BE31"/>
      <c r="BF31" t="s">
        <v>177</v>
      </c>
      <c r="BG31" s="152">
        <v>174</v>
      </c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s="3" customFormat="1" ht="26.4" customHeight="1" thickTop="1" thickBot="1" x14ac:dyDescent="0.35">
      <c r="B32" s="1" t="str">
        <f t="shared" si="16"/>
        <v/>
      </c>
      <c r="C32" s="325" t="str">
        <f>IF(B32&lt;&gt;"",VLOOKUP(B32,$C$35:$D$39,2,0),"")</f>
        <v/>
      </c>
      <c r="D32" s="325"/>
      <c r="E32" s="325"/>
      <c r="F32" s="325"/>
      <c r="G32" s="325"/>
      <c r="H32" s="325"/>
      <c r="I32" s="118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118"/>
      <c r="AH32" s="118"/>
      <c r="AI32" s="118"/>
      <c r="AJ32" s="118"/>
      <c r="AK32" s="118"/>
      <c r="AL32" s="78" t="e">
        <f t="shared" si="15"/>
        <v>#N/A</v>
      </c>
      <c r="AM32" s="1">
        <v>25</v>
      </c>
      <c r="AU32">
        <v>28</v>
      </c>
      <c r="AV32">
        <v>64</v>
      </c>
      <c r="AW32" t="s">
        <v>131</v>
      </c>
      <c r="AX32">
        <f t="shared" si="18"/>
        <v>0</v>
      </c>
      <c r="AY32" t="e">
        <f t="shared" si="18"/>
        <v>#N/A</v>
      </c>
      <c r="AZ32"/>
      <c r="BA32"/>
      <c r="BB32"/>
      <c r="BC32"/>
      <c r="BD32"/>
      <c r="BE32"/>
      <c r="BF32" t="s">
        <v>178</v>
      </c>
      <c r="BG32" s="152">
        <v>175</v>
      </c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</row>
    <row r="33" spans="2:80" s="3" customFormat="1" ht="16.8" thickTop="1" thickBot="1" x14ac:dyDescent="0.3">
      <c r="C33" s="4"/>
      <c r="D33" s="5"/>
      <c r="E33" s="5"/>
      <c r="F33" s="5"/>
      <c r="G33" s="5"/>
      <c r="J33" s="24"/>
      <c r="L33" s="4"/>
      <c r="M33" s="5"/>
      <c r="N33" s="5"/>
      <c r="O33" s="5"/>
      <c r="AL33" s="78" t="e">
        <f t="shared" si="15"/>
        <v>#N/A</v>
      </c>
      <c r="AM33" s="1">
        <v>26</v>
      </c>
      <c r="AU33">
        <v>29</v>
      </c>
      <c r="AV33">
        <v>65</v>
      </c>
      <c r="AW33" t="s">
        <v>132</v>
      </c>
      <c r="AX33">
        <f t="shared" si="18"/>
        <v>0</v>
      </c>
      <c r="AY33" t="e">
        <f t="shared" si="18"/>
        <v>#N/A</v>
      </c>
      <c r="AZ33"/>
      <c r="BA33"/>
      <c r="BB33"/>
      <c r="BC33"/>
      <c r="BD33"/>
      <c r="BE33"/>
      <c r="BF33" t="s">
        <v>175</v>
      </c>
      <c r="BG33" s="152">
        <v>177</v>
      </c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</row>
    <row r="34" spans="2:80" s="3" customFormat="1" ht="16.8" thickTop="1" thickBot="1" x14ac:dyDescent="0.3">
      <c r="C34" s="5"/>
      <c r="D34" s="5"/>
      <c r="E34" s="5"/>
      <c r="F34" s="5"/>
      <c r="G34" s="5"/>
      <c r="J34" s="24"/>
      <c r="L34" s="4"/>
      <c r="M34" s="5"/>
      <c r="N34" s="5"/>
      <c r="O34" s="5"/>
      <c r="AL34" s="78" t="e">
        <f t="shared" ref="AL34:AL39" si="19">IF(R8&lt;&gt;"",R8,"")</f>
        <v>#N/A</v>
      </c>
      <c r="AM34" s="1">
        <v>27</v>
      </c>
      <c r="AU34">
        <v>30</v>
      </c>
      <c r="AV34">
        <v>66</v>
      </c>
      <c r="AW34" t="s">
        <v>133</v>
      </c>
      <c r="AX34">
        <f t="shared" si="18"/>
        <v>0</v>
      </c>
      <c r="AY34" t="e">
        <f t="shared" si="18"/>
        <v>#N/A</v>
      </c>
      <c r="AZ34"/>
      <c r="BA34"/>
      <c r="BB34"/>
      <c r="BC34"/>
      <c r="BD34"/>
      <c r="BE34"/>
      <c r="BF34" t="s">
        <v>176</v>
      </c>
      <c r="BG34" s="152">
        <v>178</v>
      </c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</row>
    <row r="35" spans="2:80" s="3" customFormat="1" ht="16.8" thickTop="1" thickBot="1" x14ac:dyDescent="0.35">
      <c r="B35" s="23"/>
      <c r="C35" s="23" t="e">
        <f>IF(VLOOKUP(E1,ورقة2!A2:Z9887,22,0)="م",1,"")</f>
        <v>#N/A</v>
      </c>
      <c r="D35" s="23" t="s">
        <v>219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AL35" s="78" t="e">
        <f t="shared" si="19"/>
        <v>#N/A</v>
      </c>
      <c r="AM35" s="1">
        <v>28</v>
      </c>
      <c r="AU35">
        <v>31</v>
      </c>
      <c r="AV35">
        <v>67</v>
      </c>
      <c r="AW35" t="s">
        <v>134</v>
      </c>
      <c r="AX35">
        <f t="shared" si="18"/>
        <v>0</v>
      </c>
      <c r="AY35" t="e">
        <f t="shared" si="18"/>
        <v>#N/A</v>
      </c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</row>
    <row r="36" spans="2:80" s="3" customFormat="1" ht="16.8" thickTop="1" thickBot="1" x14ac:dyDescent="0.35">
      <c r="C36" s="4" t="e">
        <f>IF(VLOOKUP(E1,ورقة2!A1:Z5867,23,0)="م",3,"")</f>
        <v>#N/A</v>
      </c>
      <c r="D36" s="23" t="s">
        <v>220</v>
      </c>
      <c r="E36" s="5"/>
      <c r="F36" s="5"/>
      <c r="G36" s="5"/>
      <c r="J36" s="24"/>
      <c r="L36" s="4"/>
      <c r="M36" s="5"/>
      <c r="N36" s="5"/>
      <c r="O36" s="5"/>
      <c r="AL36" s="78" t="e">
        <f t="shared" si="19"/>
        <v>#N/A</v>
      </c>
      <c r="AM36" s="1">
        <v>29</v>
      </c>
      <c r="AU36">
        <v>32</v>
      </c>
      <c r="AV36">
        <v>68</v>
      </c>
      <c r="AW36" t="s">
        <v>135</v>
      </c>
      <c r="AX36">
        <f t="shared" si="18"/>
        <v>0</v>
      </c>
      <c r="AY36" t="e">
        <f t="shared" si="18"/>
        <v>#N/A</v>
      </c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</row>
    <row r="37" spans="2:80" s="3" customFormat="1" ht="16.8" thickTop="1" thickBot="1" x14ac:dyDescent="0.35">
      <c r="C37" s="4" t="e">
        <f>IF(VLOOKUP(E1,ورقة2!A2:Z9887,24,0)="م",3,"")</f>
        <v>#N/A</v>
      </c>
      <c r="D37" s="23" t="s">
        <v>221</v>
      </c>
      <c r="E37" s="5"/>
      <c r="F37" s="5"/>
      <c r="G37" s="5"/>
      <c r="J37" s="24"/>
      <c r="L37" s="4"/>
      <c r="M37" s="5"/>
      <c r="N37" s="5"/>
      <c r="O37" s="5"/>
      <c r="AL37" s="78" t="e">
        <f t="shared" si="19"/>
        <v>#N/A</v>
      </c>
      <c r="AM37" s="1">
        <v>30</v>
      </c>
      <c r="AU37">
        <v>33</v>
      </c>
      <c r="AV37">
        <v>69</v>
      </c>
      <c r="AW37" t="s">
        <v>136</v>
      </c>
      <c r="AX37">
        <f>AF8</f>
        <v>0</v>
      </c>
      <c r="AY37" t="e">
        <f>AG8</f>
        <v>#N/A</v>
      </c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</row>
    <row r="38" spans="2:80" s="3" customFormat="1" ht="16.8" thickTop="1" thickBot="1" x14ac:dyDescent="0.35">
      <c r="C38" s="4" t="e">
        <f>IF(VLOOKUP(E1,ورقة2!A2:Z9887,25,0)="م",4,"")</f>
        <v>#N/A</v>
      </c>
      <c r="D38" s="23" t="s">
        <v>222</v>
      </c>
      <c r="E38" s="5"/>
      <c r="F38" s="5"/>
      <c r="G38" s="5"/>
      <c r="J38" s="24"/>
      <c r="L38" s="4"/>
      <c r="M38" s="5"/>
      <c r="N38" s="5"/>
      <c r="O38" s="5"/>
      <c r="AL38" s="78" t="e">
        <f t="shared" si="19"/>
        <v>#N/A</v>
      </c>
      <c r="AM38" s="1">
        <v>31</v>
      </c>
      <c r="AU38">
        <v>34</v>
      </c>
      <c r="AV38">
        <v>70</v>
      </c>
      <c r="AW38" t="s">
        <v>137</v>
      </c>
      <c r="AX38">
        <f t="shared" ref="AX38:AY38" si="20">AF9</f>
        <v>0</v>
      </c>
      <c r="AY38" t="e">
        <f t="shared" si="20"/>
        <v>#N/A</v>
      </c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</row>
    <row r="39" spans="2:80" s="3" customFormat="1" ht="16.8" thickTop="1" thickBot="1" x14ac:dyDescent="0.35">
      <c r="C39" s="4" t="e">
        <f>IF(VLOOKUP(E1,ورقة2!A2:Z9887,26,0)="م",5,"")</f>
        <v>#N/A</v>
      </c>
      <c r="D39" s="23" t="s">
        <v>299</v>
      </c>
      <c r="E39" s="5"/>
      <c r="F39" s="5"/>
      <c r="G39" s="5"/>
      <c r="J39" s="24"/>
      <c r="L39" s="4"/>
      <c r="M39" s="5"/>
      <c r="N39" s="5"/>
      <c r="O39" s="5"/>
      <c r="AL39" s="78" t="e">
        <f t="shared" si="19"/>
        <v>#N/A</v>
      </c>
      <c r="AM39" s="1">
        <v>32</v>
      </c>
      <c r="AU39">
        <v>35</v>
      </c>
      <c r="AV39">
        <v>71</v>
      </c>
      <c r="AW39" t="s">
        <v>138</v>
      </c>
      <c r="AX39">
        <f t="shared" ref="AX39:AY39" si="21">AF10</f>
        <v>0</v>
      </c>
      <c r="AY39" t="e">
        <f t="shared" si="21"/>
        <v>#N/A</v>
      </c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</row>
    <row r="40" spans="2:80" s="3" customFormat="1" ht="16.8" thickTop="1" thickBot="1" x14ac:dyDescent="0.3">
      <c r="C40" s="4"/>
      <c r="D40" s="5"/>
      <c r="E40" s="5"/>
      <c r="F40" s="5"/>
      <c r="G40" s="5"/>
      <c r="J40" s="24"/>
      <c r="L40" s="4"/>
      <c r="M40" s="5"/>
      <c r="N40" s="5"/>
      <c r="O40" s="5"/>
      <c r="AL40" s="78" t="e">
        <f t="shared" ref="AL40:AL45" si="22">IF(Z8&lt;&gt;"",Z8,"")</f>
        <v>#N/A</v>
      </c>
      <c r="AM40" s="1">
        <v>33</v>
      </c>
      <c r="AU40">
        <v>36</v>
      </c>
      <c r="AV40">
        <v>72</v>
      </c>
      <c r="AW40" t="s">
        <v>139</v>
      </c>
      <c r="AX40">
        <f t="shared" ref="AX40:AY40" si="23">AF11</f>
        <v>0</v>
      </c>
      <c r="AY40" t="e">
        <f t="shared" si="23"/>
        <v>#N/A</v>
      </c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</row>
    <row r="41" spans="2:80" s="3" customFormat="1" ht="16.8" thickTop="1" thickBot="1" x14ac:dyDescent="0.3">
      <c r="C41" s="4"/>
      <c r="D41" s="5"/>
      <c r="E41" s="5"/>
      <c r="F41" s="5"/>
      <c r="G41" s="5"/>
      <c r="J41" s="24"/>
      <c r="L41" s="4"/>
      <c r="M41" s="5"/>
      <c r="N41" s="5"/>
      <c r="O41" s="5"/>
      <c r="AL41" s="78" t="e">
        <f t="shared" si="22"/>
        <v>#N/A</v>
      </c>
      <c r="AM41" s="1">
        <v>34</v>
      </c>
      <c r="AU41">
        <v>37</v>
      </c>
      <c r="AV41">
        <v>73</v>
      </c>
      <c r="AW41" t="s">
        <v>120</v>
      </c>
      <c r="AX41">
        <f t="shared" ref="AX41:AY41" si="24">AF12</f>
        <v>0</v>
      </c>
      <c r="AY41" t="e">
        <f t="shared" si="24"/>
        <v>#N/A</v>
      </c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</row>
    <row r="42" spans="2:80" s="3" customFormat="1" ht="16.8" thickTop="1" thickBot="1" x14ac:dyDescent="0.3">
      <c r="C42" s="5"/>
      <c r="D42" s="5"/>
      <c r="E42" s="6"/>
      <c r="H42" s="25"/>
      <c r="I42" s="25"/>
      <c r="J42" s="25"/>
      <c r="K42" s="25"/>
      <c r="L42" s="7"/>
      <c r="M42" s="7"/>
      <c r="N42" s="26"/>
      <c r="O42" s="26"/>
      <c r="P42" s="26"/>
      <c r="Q42" s="26"/>
      <c r="AL42" s="78" t="e">
        <f t="shared" si="22"/>
        <v>#N/A</v>
      </c>
      <c r="AM42" s="1">
        <v>35</v>
      </c>
      <c r="AU42">
        <v>38</v>
      </c>
      <c r="AV42">
        <f>AB13</f>
        <v>0</v>
      </c>
      <c r="AW42" t="str">
        <f>AC13</f>
        <v>اكتب اسم المادة الاختيارية</v>
      </c>
      <c r="AX42">
        <f t="shared" ref="AX42:AY42" si="25">AF13</f>
        <v>0</v>
      </c>
      <c r="AY42" t="e">
        <f t="shared" si="25"/>
        <v>#N/A</v>
      </c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</row>
    <row r="43" spans="2:80" s="3" customFormat="1" ht="18.600000000000001" thickTop="1" thickBot="1" x14ac:dyDescent="0.3">
      <c r="C43" s="8"/>
      <c r="D43" s="5"/>
      <c r="E43" s="5"/>
      <c r="F43" s="5"/>
      <c r="H43" s="25"/>
      <c r="I43" s="25"/>
      <c r="J43" s="25"/>
      <c r="K43" s="25"/>
      <c r="L43" s="7"/>
      <c r="M43" s="7"/>
      <c r="N43" s="26"/>
      <c r="O43" s="26"/>
      <c r="P43" s="26"/>
      <c r="Q43" s="26"/>
      <c r="AL43" s="78" t="e">
        <f t="shared" si="22"/>
        <v>#N/A</v>
      </c>
      <c r="AM43" s="1">
        <v>36</v>
      </c>
      <c r="AU43">
        <v>39</v>
      </c>
      <c r="AV43">
        <v>74</v>
      </c>
      <c r="AW43" t="s">
        <v>140</v>
      </c>
      <c r="AX43">
        <f t="shared" ref="AX43:AY48" si="26">X17</f>
        <v>0</v>
      </c>
      <c r="AY43" t="e">
        <f t="shared" si="26"/>
        <v>#N/A</v>
      </c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</row>
    <row r="44" spans="2:80" s="3" customFormat="1" ht="18.600000000000001" thickTop="1" thickBot="1" x14ac:dyDescent="0.3">
      <c r="B44" s="9"/>
      <c r="C44" s="9"/>
      <c r="D44" s="9"/>
      <c r="E44" s="9"/>
      <c r="F44" s="9"/>
      <c r="G44" s="10"/>
      <c r="H44" s="8"/>
      <c r="I44" s="8"/>
      <c r="J44" s="8"/>
      <c r="K44" s="8"/>
      <c r="L44" s="5"/>
      <c r="M44" s="5"/>
      <c r="N44" s="26"/>
      <c r="O44" s="26"/>
      <c r="P44" s="26"/>
      <c r="Q44" s="26"/>
      <c r="AL44" s="78" t="e">
        <f t="shared" si="22"/>
        <v>#N/A</v>
      </c>
      <c r="AM44" s="1">
        <v>37</v>
      </c>
      <c r="AU44">
        <v>40</v>
      </c>
      <c r="AV44">
        <v>75</v>
      </c>
      <c r="AW44" t="s">
        <v>141</v>
      </c>
      <c r="AX44">
        <f t="shared" si="26"/>
        <v>0</v>
      </c>
      <c r="AY44" t="e">
        <f t="shared" si="26"/>
        <v>#N/A</v>
      </c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</row>
    <row r="45" spans="2:80" s="3" customFormat="1" ht="16.8" thickTop="1" thickBot="1" x14ac:dyDescent="0.3">
      <c r="B45" s="5"/>
      <c r="C45" s="5"/>
      <c r="D45" s="5"/>
      <c r="G45" s="5"/>
      <c r="H45" s="5"/>
      <c r="I45" s="5"/>
      <c r="J45" s="5"/>
      <c r="K45" s="5"/>
      <c r="L45" s="5"/>
      <c r="M45" s="11"/>
      <c r="N45" s="26"/>
      <c r="O45" s="26"/>
      <c r="P45" s="26"/>
      <c r="Q45" s="26"/>
      <c r="AL45" s="78" t="e">
        <f t="shared" si="22"/>
        <v>#N/A</v>
      </c>
      <c r="AM45" s="1">
        <v>38</v>
      </c>
      <c r="AU45">
        <v>41</v>
      </c>
      <c r="AV45">
        <v>76</v>
      </c>
      <c r="AW45" t="s">
        <v>142</v>
      </c>
      <c r="AX45">
        <f t="shared" si="26"/>
        <v>0</v>
      </c>
      <c r="AY45" t="e">
        <f t="shared" si="26"/>
        <v>#N/A</v>
      </c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</row>
    <row r="46" spans="2:80" s="3" customFormat="1" ht="18.600000000000001" thickTop="1" thickBot="1" x14ac:dyDescent="0.3">
      <c r="B46" s="8"/>
      <c r="C46" s="10"/>
      <c r="D46" s="10"/>
      <c r="E46" s="10"/>
      <c r="F46" s="10"/>
      <c r="G46" s="5"/>
      <c r="H46" s="5"/>
      <c r="I46" s="5"/>
      <c r="J46" s="5"/>
      <c r="K46" s="5"/>
      <c r="L46" s="5"/>
      <c r="M46" s="7"/>
      <c r="N46" s="7"/>
      <c r="O46" s="12"/>
      <c r="P46" s="12"/>
      <c r="Q46" s="12"/>
      <c r="AL46" s="78" t="e">
        <f t="shared" ref="AL46:AL51" si="27">IF(R17&lt;&gt;"",R17,"")</f>
        <v>#N/A</v>
      </c>
      <c r="AM46" s="1">
        <v>39</v>
      </c>
      <c r="AU46">
        <v>42</v>
      </c>
      <c r="AV46">
        <v>77</v>
      </c>
      <c r="AW46" t="s">
        <v>143</v>
      </c>
      <c r="AX46">
        <f t="shared" si="26"/>
        <v>0</v>
      </c>
      <c r="AY46" t="e">
        <f t="shared" si="26"/>
        <v>#N/A</v>
      </c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</row>
    <row r="47" spans="2:80" s="3" customFormat="1" ht="16.8" thickTop="1" thickBot="1" x14ac:dyDescent="0.3">
      <c r="AL47" s="78" t="e">
        <f t="shared" si="27"/>
        <v>#N/A</v>
      </c>
      <c r="AM47" s="1">
        <v>40</v>
      </c>
      <c r="AU47">
        <v>43</v>
      </c>
      <c r="AV47">
        <v>78</v>
      </c>
      <c r="AW47" t="s">
        <v>144</v>
      </c>
      <c r="AX47">
        <f t="shared" si="26"/>
        <v>0</v>
      </c>
      <c r="AY47" t="e">
        <f t="shared" si="26"/>
        <v>#N/A</v>
      </c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</row>
    <row r="48" spans="2:80" s="3" customFormat="1" ht="16.8" thickTop="1" thickBot="1" x14ac:dyDescent="0.3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AL48" s="78" t="e">
        <f t="shared" si="27"/>
        <v>#N/A</v>
      </c>
      <c r="AM48" s="1">
        <v>41</v>
      </c>
      <c r="AU48">
        <v>44</v>
      </c>
      <c r="AV48">
        <v>79</v>
      </c>
      <c r="AW48" t="s">
        <v>145</v>
      </c>
      <c r="AX48">
        <f t="shared" si="26"/>
        <v>0</v>
      </c>
      <c r="AY48" t="e">
        <f t="shared" si="26"/>
        <v>#N/A</v>
      </c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</row>
    <row r="49" spans="2:80" s="3" customFormat="1" ht="16.8" thickTop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AL49" s="78" t="e">
        <f t="shared" si="27"/>
        <v>#N/A</v>
      </c>
      <c r="AM49" s="1">
        <v>42</v>
      </c>
      <c r="AU49">
        <v>45</v>
      </c>
      <c r="AV49">
        <v>80</v>
      </c>
      <c r="AW49" t="s">
        <v>146</v>
      </c>
      <c r="AX49">
        <f>AF17</f>
        <v>0</v>
      </c>
      <c r="AY49" t="e">
        <f>AG17</f>
        <v>#N/A</v>
      </c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</row>
    <row r="50" spans="2:80" s="3" customFormat="1" ht="18.600000000000001" thickTop="1" thickBot="1" x14ac:dyDescent="0.3">
      <c r="B50" s="13"/>
      <c r="C50" s="13"/>
      <c r="D50" s="13"/>
      <c r="E50" s="13"/>
      <c r="F50" s="13"/>
      <c r="G50" s="13"/>
      <c r="H50" s="14"/>
      <c r="I50" s="14"/>
      <c r="J50" s="14"/>
      <c r="K50" s="8"/>
      <c r="L50" s="8"/>
      <c r="M50" s="14"/>
      <c r="N50" s="14"/>
      <c r="O50" s="13"/>
      <c r="P50" s="13"/>
      <c r="Q50" s="13"/>
      <c r="AL50" s="78" t="e">
        <f t="shared" si="27"/>
        <v>#N/A</v>
      </c>
      <c r="AM50" s="1">
        <v>43</v>
      </c>
      <c r="AU50">
        <v>46</v>
      </c>
      <c r="AV50">
        <v>81</v>
      </c>
      <c r="AW50" t="s">
        <v>150</v>
      </c>
      <c r="AX50">
        <f t="shared" ref="AX50:AY50" si="28">AF18</f>
        <v>0</v>
      </c>
      <c r="AY50" t="e">
        <f t="shared" si="28"/>
        <v>#N/A</v>
      </c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</row>
    <row r="51" spans="2:80" s="3" customFormat="1" ht="16.8" thickTop="1" thickBot="1" x14ac:dyDescent="0.3">
      <c r="B51" s="14"/>
      <c r="C51" s="14"/>
      <c r="D51" s="14"/>
      <c r="E51" s="14"/>
      <c r="F51" s="14"/>
      <c r="G51" s="14"/>
      <c r="O51" s="14"/>
      <c r="P51" s="14"/>
      <c r="Q51" s="14"/>
      <c r="AL51" s="78" t="e">
        <f t="shared" si="27"/>
        <v>#N/A</v>
      </c>
      <c r="AM51" s="1">
        <v>44</v>
      </c>
      <c r="AU51">
        <v>47</v>
      </c>
      <c r="AV51">
        <v>82</v>
      </c>
      <c r="AW51" t="s">
        <v>147</v>
      </c>
      <c r="AX51">
        <f t="shared" ref="AX51:AY51" si="29">AF19</f>
        <v>0</v>
      </c>
      <c r="AY51" t="e">
        <f t="shared" si="29"/>
        <v>#N/A</v>
      </c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</row>
    <row r="52" spans="2:80" s="3" customFormat="1" ht="19.8" thickTop="1" thickBot="1" x14ac:dyDescent="0.6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AL52" s="78" t="e">
        <f t="shared" ref="AL52:AL57" si="30">IF(Z17&lt;&gt;"",Z17,"")</f>
        <v>#N/A</v>
      </c>
      <c r="AM52" s="1">
        <v>45</v>
      </c>
      <c r="AU52">
        <v>48</v>
      </c>
      <c r="AV52">
        <v>83</v>
      </c>
      <c r="AW52" t="s">
        <v>148</v>
      </c>
      <c r="AX52">
        <f t="shared" ref="AX52:AY52" si="31">AF20</f>
        <v>0</v>
      </c>
      <c r="AY52" t="e">
        <f t="shared" si="31"/>
        <v>#N/A</v>
      </c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</row>
    <row r="53" spans="2:80" s="3" customFormat="1" ht="22.2" thickTop="1" thickBot="1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8"/>
      <c r="O53" s="8"/>
      <c r="P53" s="8"/>
      <c r="Q53" s="8"/>
      <c r="AL53" s="78" t="e">
        <f t="shared" si="30"/>
        <v>#N/A</v>
      </c>
      <c r="AM53" s="1">
        <v>46</v>
      </c>
      <c r="AU53">
        <v>49</v>
      </c>
      <c r="AV53">
        <v>84</v>
      </c>
      <c r="AW53" t="s">
        <v>120</v>
      </c>
      <c r="AX53">
        <f t="shared" ref="AX53:AY53" si="32">AF21</f>
        <v>0</v>
      </c>
      <c r="AY53" t="e">
        <f t="shared" si="32"/>
        <v>#N/A</v>
      </c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</row>
    <row r="54" spans="2:80" s="3" customFormat="1" ht="22.2" thickTop="1" thickBot="1" x14ac:dyDescent="0.3">
      <c r="B54" s="16"/>
      <c r="C54" s="16"/>
      <c r="D54" s="16"/>
      <c r="E54" s="15"/>
      <c r="F54" s="16"/>
      <c r="G54" s="16"/>
      <c r="H54" s="16"/>
      <c r="I54" s="16"/>
      <c r="J54" s="16"/>
      <c r="K54" s="16"/>
      <c r="L54" s="16"/>
      <c r="M54" s="16"/>
      <c r="N54" s="9"/>
      <c r="O54" s="9"/>
      <c r="P54" s="9"/>
      <c r="Q54" s="9"/>
      <c r="AL54" s="78" t="e">
        <f t="shared" si="30"/>
        <v>#N/A</v>
      </c>
      <c r="AM54" s="1">
        <v>47</v>
      </c>
      <c r="AU54">
        <v>50</v>
      </c>
      <c r="AV54">
        <f>AB22</f>
        <v>0</v>
      </c>
      <c r="AW54" t="str">
        <f>AC22</f>
        <v>اكتب اسم المادة الاختيارية</v>
      </c>
      <c r="AX54">
        <f t="shared" ref="AX54:AY54" si="33">AF22</f>
        <v>0</v>
      </c>
      <c r="AY54" t="e">
        <f t="shared" si="33"/>
        <v>#N/A</v>
      </c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</row>
    <row r="55" spans="2:80" s="3" customFormat="1" ht="22.2" thickTop="1" thickBot="1" x14ac:dyDescent="0.45">
      <c r="B55" s="17"/>
      <c r="C55" s="21"/>
      <c r="D55" s="21"/>
      <c r="E55" s="21"/>
      <c r="F55" s="21"/>
      <c r="G55" s="21"/>
      <c r="H55" s="21"/>
      <c r="I55" s="17"/>
      <c r="J55" s="17"/>
      <c r="K55" s="18"/>
      <c r="L55" s="19"/>
      <c r="M55" s="19"/>
      <c r="N55" s="20"/>
      <c r="O55" s="20"/>
      <c r="P55" s="20"/>
      <c r="Q55" s="20"/>
      <c r="AL55" s="78" t="e">
        <f t="shared" si="30"/>
        <v>#N/A</v>
      </c>
      <c r="AM55" s="1">
        <v>48</v>
      </c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</row>
    <row r="56" spans="2:80" s="3" customFormat="1" ht="22.2" thickTop="1" thickBot="1" x14ac:dyDescent="0.45">
      <c r="B56" s="18"/>
      <c r="C56" s="18"/>
      <c r="D56" s="18"/>
      <c r="E56" s="18"/>
      <c r="F56" s="18"/>
      <c r="G56" s="18"/>
      <c r="H56" s="21"/>
      <c r="I56" s="21"/>
      <c r="J56" s="21"/>
      <c r="K56" s="21"/>
      <c r="L56" s="21"/>
      <c r="M56" s="21"/>
      <c r="O56" s="22"/>
      <c r="P56" s="22"/>
      <c r="Q56" s="22"/>
      <c r="AL56" s="78" t="e">
        <f t="shared" si="30"/>
        <v>#N/A</v>
      </c>
      <c r="AM56" s="1">
        <v>49</v>
      </c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</row>
    <row r="57" spans="2:80" ht="22.2" thickTop="1" thickBot="1" x14ac:dyDescent="0.4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AL57" s="78" t="e">
        <f t="shared" si="30"/>
        <v>#N/A</v>
      </c>
      <c r="AM57" s="1">
        <v>50</v>
      </c>
    </row>
    <row r="58" spans="2:80" ht="14.4" thickTop="1" x14ac:dyDescent="0.25"/>
  </sheetData>
  <sheetProtection algorithmName="SHA-512" hashValue="wFLyj6EVQdh02jrnQ1nYdPIblVi1drMrK0xcT6nXilYsDwe9XCYsqsWv8vgQEOs/UGzRUoGNR8xCUBqs0EBk5Q==" saltValue="GMEpao4xmy/F/l+Fd18XuQ==" spinCount="100000" sheet="1" selectLockedCells="1"/>
  <sortState xmlns:xlrd2="http://schemas.microsoft.com/office/spreadsheetml/2017/richdata2" ref="BF29:BG34">
    <sortCondition ref="BG29:BG34"/>
  </sortState>
  <mergeCells count="136">
    <mergeCell ref="D21:G21"/>
    <mergeCell ref="C4:D4"/>
    <mergeCell ref="AE4:AG4"/>
    <mergeCell ref="X5:Z5"/>
    <mergeCell ref="F5:N5"/>
    <mergeCell ref="O5:P5"/>
    <mergeCell ref="E4:G4"/>
    <mergeCell ref="AC19:AE19"/>
    <mergeCell ref="L7:P7"/>
    <mergeCell ref="T7:X7"/>
    <mergeCell ref="D20:G20"/>
    <mergeCell ref="D19:G19"/>
    <mergeCell ref="D17:G17"/>
    <mergeCell ref="M8:O8"/>
    <mergeCell ref="M9:O9"/>
    <mergeCell ref="U8:W8"/>
    <mergeCell ref="AC8:AE8"/>
    <mergeCell ref="D18:G18"/>
    <mergeCell ref="Q5:T5"/>
    <mergeCell ref="U5:V5"/>
    <mergeCell ref="C5:E5"/>
    <mergeCell ref="T6:AG6"/>
    <mergeCell ref="B6:Q6"/>
    <mergeCell ref="M17:O17"/>
    <mergeCell ref="AH1:AI1"/>
    <mergeCell ref="H2:N2"/>
    <mergeCell ref="X2:Z2"/>
    <mergeCell ref="AB2:AC2"/>
    <mergeCell ref="AH2:AI2"/>
    <mergeCell ref="X3:Z3"/>
    <mergeCell ref="AH3:AI3"/>
    <mergeCell ref="X4:Z4"/>
    <mergeCell ref="X1:Z1"/>
    <mergeCell ref="AB4:AC4"/>
    <mergeCell ref="Q3:T3"/>
    <mergeCell ref="U3:V3"/>
    <mergeCell ref="H4:J4"/>
    <mergeCell ref="L4:N4"/>
    <mergeCell ref="O4:P4"/>
    <mergeCell ref="Q4:T4"/>
    <mergeCell ref="U4:V4"/>
    <mergeCell ref="AE2:AG2"/>
    <mergeCell ref="AH9:AJ9"/>
    <mergeCell ref="AH10:AJ11"/>
    <mergeCell ref="U11:W11"/>
    <mergeCell ref="U17:W17"/>
    <mergeCell ref="AC13:AE13"/>
    <mergeCell ref="AC12:AE12"/>
    <mergeCell ref="AC9:AE9"/>
    <mergeCell ref="AH12:AJ19"/>
    <mergeCell ref="AC11:AE11"/>
    <mergeCell ref="T16:AG16"/>
    <mergeCell ref="AC18:AE18"/>
    <mergeCell ref="U9:W9"/>
    <mergeCell ref="AC10:AE10"/>
    <mergeCell ref="AC17:AE17"/>
    <mergeCell ref="AB5:AC5"/>
    <mergeCell ref="AB7:AF7"/>
    <mergeCell ref="B7:H7"/>
    <mergeCell ref="B3:D3"/>
    <mergeCell ref="AE3:AG3"/>
    <mergeCell ref="O1:P1"/>
    <mergeCell ref="E3:G3"/>
    <mergeCell ref="H3:J3"/>
    <mergeCell ref="L3:N3"/>
    <mergeCell ref="C2:D2"/>
    <mergeCell ref="E2:G2"/>
    <mergeCell ref="O2:P2"/>
    <mergeCell ref="O3:P3"/>
    <mergeCell ref="AB1:AC1"/>
    <mergeCell ref="U2:V2"/>
    <mergeCell ref="Q2:T2"/>
    <mergeCell ref="Q1:T1"/>
    <mergeCell ref="AB3:AC3"/>
    <mergeCell ref="C1:D1"/>
    <mergeCell ref="E1:G1"/>
    <mergeCell ref="H1:J1"/>
    <mergeCell ref="L1:N1"/>
    <mergeCell ref="U1:V1"/>
    <mergeCell ref="AE1:AG1"/>
    <mergeCell ref="AD27:AG27"/>
    <mergeCell ref="Z29:AC29"/>
    <mergeCell ref="AD29:AG29"/>
    <mergeCell ref="U18:W18"/>
    <mergeCell ref="U19:W19"/>
    <mergeCell ref="M13:O13"/>
    <mergeCell ref="U12:W12"/>
    <mergeCell ref="U10:W10"/>
    <mergeCell ref="U22:W22"/>
    <mergeCell ref="U21:W21"/>
    <mergeCell ref="T28:V28"/>
    <mergeCell ref="W28:X28"/>
    <mergeCell ref="M21:O21"/>
    <mergeCell ref="AC21:AE21"/>
    <mergeCell ref="AC22:AE22"/>
    <mergeCell ref="M10:O10"/>
    <mergeCell ref="M12:O12"/>
    <mergeCell ref="AC20:AE20"/>
    <mergeCell ref="U13:W13"/>
    <mergeCell ref="M18:O18"/>
    <mergeCell ref="U20:W20"/>
    <mergeCell ref="D13:G13"/>
    <mergeCell ref="D14:G14"/>
    <mergeCell ref="D8:G8"/>
    <mergeCell ref="M20:O20"/>
    <mergeCell ref="B16:Q16"/>
    <mergeCell ref="M19:O19"/>
    <mergeCell ref="M11:O11"/>
    <mergeCell ref="D9:G9"/>
    <mergeCell ref="D10:G10"/>
    <mergeCell ref="D11:G11"/>
    <mergeCell ref="D12:G12"/>
    <mergeCell ref="C32:H32"/>
    <mergeCell ref="C27:H27"/>
    <mergeCell ref="C28:H28"/>
    <mergeCell ref="C29:H29"/>
    <mergeCell ref="C30:H30"/>
    <mergeCell ref="C31:H31"/>
    <mergeCell ref="D23:G23"/>
    <mergeCell ref="D22:G22"/>
    <mergeCell ref="M22:O22"/>
    <mergeCell ref="N27:R27"/>
    <mergeCell ref="N28:R28"/>
    <mergeCell ref="N29:R29"/>
    <mergeCell ref="L28:M28"/>
    <mergeCell ref="J31:AF32"/>
    <mergeCell ref="AC30:AE30"/>
    <mergeCell ref="T27:V27"/>
    <mergeCell ref="W27:Y27"/>
    <mergeCell ref="W29:Y29"/>
    <mergeCell ref="L29:M29"/>
    <mergeCell ref="T29:V29"/>
    <mergeCell ref="L27:M27"/>
    <mergeCell ref="P30:T30"/>
    <mergeCell ref="W30:Z30"/>
    <mergeCell ref="Z27:AC27"/>
  </mergeCells>
  <phoneticPr fontId="69" type="noConversion"/>
  <conditionalFormatting sqref="B8:B14">
    <cfRule type="expression" dxfId="47" priority="55">
      <formula>$E$2="معاقب"</formula>
    </cfRule>
    <cfRule type="expression" dxfId="46" priority="56">
      <formula>$E$2="مستنفذ"</formula>
    </cfRule>
  </conditionalFormatting>
  <conditionalFormatting sqref="B17:B23">
    <cfRule type="expression" dxfId="45" priority="13">
      <formula>$E$2="معاقب"</formula>
    </cfRule>
    <cfRule type="expression" dxfId="44" priority="14">
      <formula>$E$2="مستنفذ"</formula>
    </cfRule>
  </conditionalFormatting>
  <conditionalFormatting sqref="B6:Q6">
    <cfRule type="expression" dxfId="43" priority="76">
      <formula>$E$2="مستنفذ"</formula>
    </cfRule>
  </conditionalFormatting>
  <conditionalFormatting sqref="B7:Q7 T7:AG7 T14:AG16 B15:Q16">
    <cfRule type="expression" dxfId="42" priority="75">
      <formula>$E$2="مستنفذ"</formula>
    </cfRule>
  </conditionalFormatting>
  <conditionalFormatting sqref="C8:Q14">
    <cfRule type="expression" dxfId="41" priority="12">
      <formula>$E$2="مستنفذ"</formula>
    </cfRule>
  </conditionalFormatting>
  <conditionalFormatting sqref="C17:Q23">
    <cfRule type="expression" dxfId="40" priority="10">
      <formula>$E$2="مستنفذ"</formula>
    </cfRule>
  </conditionalFormatting>
  <conditionalFormatting sqref="K8:K13">
    <cfRule type="expression" dxfId="39" priority="11">
      <formula>$E$2="معاقب"</formula>
    </cfRule>
  </conditionalFormatting>
  <conditionalFormatting sqref="K17:K22">
    <cfRule type="expression" dxfId="38" priority="9">
      <formula>$E$2="معاقب"</formula>
    </cfRule>
  </conditionalFormatting>
  <conditionalFormatting sqref="S8:S13">
    <cfRule type="expression" dxfId="37" priority="7">
      <formula>$E$2="معاقب"</formula>
    </cfRule>
  </conditionalFormatting>
  <conditionalFormatting sqref="S17:S22">
    <cfRule type="expression" dxfId="36" priority="5">
      <formula>$E$2="معاقب"</formula>
    </cfRule>
  </conditionalFormatting>
  <conditionalFormatting sqref="S8:Z13">
    <cfRule type="expression" dxfId="35" priority="8">
      <formula>$E$2="مستنفذ"</formula>
    </cfRule>
  </conditionalFormatting>
  <conditionalFormatting sqref="S17:Z22">
    <cfRule type="expression" dxfId="34" priority="6">
      <formula>$E$2="مستنفذ"</formula>
    </cfRule>
  </conditionalFormatting>
  <conditionalFormatting sqref="AA8:AA13">
    <cfRule type="expression" dxfId="33" priority="3">
      <formula>$E$2="معاقب"</formula>
    </cfRule>
  </conditionalFormatting>
  <conditionalFormatting sqref="AA17:AA22">
    <cfRule type="expression" dxfId="32" priority="1">
      <formula>$E$2="معاقب"</formula>
    </cfRule>
  </conditionalFormatting>
  <conditionalFormatting sqref="AA8:AG13">
    <cfRule type="expression" dxfId="31" priority="4">
      <formula>$E$2="مستنفذ"</formula>
    </cfRule>
  </conditionalFormatting>
  <conditionalFormatting sqref="AA17:AG22">
    <cfRule type="expression" dxfId="30" priority="2">
      <formula>$E$2="مستنفذ"</formula>
    </cfRule>
  </conditionalFormatting>
  <dataValidations count="7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M22:O22" xr:uid="{00000000-0002-0000-0200-000002000000}">
      <formula1>$BF$12:$BF$18</formula1>
    </dataValidation>
    <dataValidation type="list" allowBlank="1" showInputMessage="1" showErrorMessage="1" sqref="AC13:AE13" xr:uid="{00000000-0002-0000-0200-000003000000}">
      <formula1>$BF$19:$BF$27</formula1>
    </dataValidation>
    <dataValidation type="list" allowBlank="1" showInputMessage="1" showErrorMessage="1" sqref="AC22:AE22" xr:uid="{00000000-0002-0000-0200-000004000000}">
      <formula1>$BF$28:$BF$34</formula1>
    </dataValidation>
    <dataValidation type="list" allowBlank="1" showInputMessage="1" showErrorMessage="1" sqref="F5:N5" xr:uid="{6297AB9F-C785-4572-A948-7B1AACA34B9C}">
      <formula1>$AO$1:$AO$9</formula1>
    </dataValidation>
    <dataValidation type="list" allowBlank="1" showInputMessage="1" showErrorMessage="1" sqref="M13:O13" xr:uid="{00000000-0002-0000-0200-000001000000}">
      <formula1>$BF$5:$BF$11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H8:H14 H17:H23 P17:P22 X17:X22 AF17:AF22 AF8:AF13 X8:X13 P8:P13" xr:uid="{399FAE6A-E062-4422-858D-A38C13C2AB11}">
      <formula1>AND($AK$1=0,H8=1)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6"/>
  <dimension ref="B1:AT49"/>
  <sheetViews>
    <sheetView rightToLeft="1" workbookViewId="0">
      <selection activeCell="AI1" sqref="AI1:AT1048576"/>
    </sheetView>
  </sheetViews>
  <sheetFormatPr defaultColWidth="9" defaultRowHeight="15" x14ac:dyDescent="0.25"/>
  <cols>
    <col min="1" max="1" width="2.59765625" style="122" customWidth="1"/>
    <col min="2" max="2" width="3.296875" style="122" bestFit="1" customWidth="1"/>
    <col min="3" max="3" width="5.09765625" style="122" customWidth="1"/>
    <col min="4" max="4" width="4.09765625" style="122" customWidth="1"/>
    <col min="5" max="5" width="8" style="114" customWidth="1"/>
    <col min="6" max="6" width="7.09765625" style="114" customWidth="1"/>
    <col min="7" max="7" width="4.796875" style="114" customWidth="1"/>
    <col min="8" max="8" width="5.3984375" style="114" customWidth="1"/>
    <col min="9" max="9" width="5.19921875" style="122" customWidth="1"/>
    <col min="10" max="10" width="8.8984375" style="122" customWidth="1"/>
    <col min="11" max="11" width="5.8984375" style="122" customWidth="1"/>
    <col min="12" max="12" width="3.3984375" style="122" customWidth="1"/>
    <col min="13" max="13" width="7.09765625" style="114" customWidth="1"/>
    <col min="14" max="14" width="8.296875" style="114" customWidth="1"/>
    <col min="15" max="15" width="7.09765625" style="114" customWidth="1"/>
    <col min="16" max="16" width="4.19921875" style="122" customWidth="1"/>
    <col min="17" max="17" width="4.796875" style="122" customWidth="1"/>
    <col min="18" max="18" width="3.69921875" style="122" customWidth="1"/>
    <col min="19" max="19" width="8.09765625" style="122" customWidth="1"/>
    <col min="20" max="23" width="8.09765625" style="122" hidden="1" customWidth="1"/>
    <col min="24" max="28" width="8.09765625" style="1" hidden="1" customWidth="1"/>
    <col min="29" max="29" width="8.09765625" style="251" hidden="1" customWidth="1"/>
    <col min="30" max="34" width="18" style="251" hidden="1" customWidth="1"/>
    <col min="35" max="35" width="9" style="1" hidden="1" customWidth="1"/>
    <col min="36" max="36" width="3" style="1" hidden="1" customWidth="1"/>
    <col min="37" max="46" width="9" style="122" hidden="1" customWidth="1"/>
    <col min="47" max="47" width="9" style="122" customWidth="1"/>
    <col min="48" max="16384" width="9" style="122"/>
  </cols>
  <sheetData>
    <row r="1" spans="2:42" ht="16.8" thickTop="1" thickBot="1" x14ac:dyDescent="0.3">
      <c r="B1" s="424">
        <f ca="1">NOW()</f>
        <v>45719.975354745373</v>
      </c>
      <c r="C1" s="424"/>
      <c r="D1" s="424"/>
      <c r="E1" s="424"/>
      <c r="F1" s="434" t="s">
        <v>506</v>
      </c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T1" s="94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AC1" s="249"/>
      <c r="AD1" s="442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443"/>
      <c r="AF1" s="443"/>
      <c r="AG1" s="443"/>
      <c r="AH1" s="444"/>
      <c r="AI1" s="180"/>
      <c r="AJ1" s="181">
        <f>COUNT(AA3:AA21)</f>
        <v>17</v>
      </c>
      <c r="AP1" s="78" t="s">
        <v>68</v>
      </c>
    </row>
    <row r="2" spans="2:42" ht="17.25" customHeight="1" thickTop="1" thickBot="1" x14ac:dyDescent="0.3">
      <c r="B2" s="425" t="s">
        <v>271</v>
      </c>
      <c r="C2" s="426"/>
      <c r="D2" s="427">
        <f>'اختيار المقررات'!E1</f>
        <v>0</v>
      </c>
      <c r="E2" s="427"/>
      <c r="F2" s="428" t="s">
        <v>3</v>
      </c>
      <c r="G2" s="428"/>
      <c r="H2" s="429" t="str">
        <f>'اختيار المقررات'!L1</f>
        <v/>
      </c>
      <c r="I2" s="429"/>
      <c r="J2" s="429"/>
      <c r="K2" s="428" t="s">
        <v>4</v>
      </c>
      <c r="L2" s="428"/>
      <c r="M2" s="430" t="str">
        <f>'اختيار المقررات'!Q1</f>
        <v/>
      </c>
      <c r="N2" s="430"/>
      <c r="O2" s="174" t="s">
        <v>5</v>
      </c>
      <c r="P2" s="430" t="str">
        <f>'اختيار المقررات'!W1</f>
        <v/>
      </c>
      <c r="Q2" s="430"/>
      <c r="R2" s="431"/>
      <c r="T2" s="94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AC2" s="249"/>
      <c r="AD2" s="445"/>
      <c r="AE2" s="446"/>
      <c r="AF2" s="446"/>
      <c r="AG2" s="446"/>
      <c r="AH2" s="447"/>
      <c r="AI2" s="182" t="s">
        <v>507</v>
      </c>
      <c r="AP2" s="64" t="s">
        <v>69</v>
      </c>
    </row>
    <row r="3" spans="2:42" ht="18.75" customHeight="1" thickTop="1" thickBot="1" x14ac:dyDescent="0.3">
      <c r="B3" s="412" t="s">
        <v>272</v>
      </c>
      <c r="C3" s="413"/>
      <c r="D3" s="409" t="e">
        <f>'اختيار المقررات'!E2</f>
        <v>#N/A</v>
      </c>
      <c r="E3" s="409"/>
      <c r="F3" s="419">
        <f>'اختيار المقررات'!Q2</f>
        <v>0</v>
      </c>
      <c r="G3" s="419"/>
      <c r="H3" s="410" t="s">
        <v>78</v>
      </c>
      <c r="I3" s="410"/>
      <c r="J3" s="435">
        <f>'اختيار المقررات'!W2</f>
        <v>0</v>
      </c>
      <c r="K3" s="435"/>
      <c r="L3" s="435"/>
      <c r="M3" s="175" t="s">
        <v>79</v>
      </c>
      <c r="N3" s="409">
        <f>'اختيار المقررات'!AB2</f>
        <v>0</v>
      </c>
      <c r="O3" s="409"/>
      <c r="P3" s="409"/>
      <c r="Q3" s="432" t="s">
        <v>80</v>
      </c>
      <c r="R3" s="433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250"/>
      <c r="AD3" s="250"/>
      <c r="AE3" s="448" t="str">
        <f>IFERROR(VLOOKUP(AA3,$X$3:$Z$22,3,0),"")</f>
        <v>اسم الاب:</v>
      </c>
      <c r="AF3" s="448"/>
      <c r="AG3" s="448"/>
      <c r="AH3" s="250"/>
      <c r="AI3" s="181"/>
      <c r="AP3" s="64" t="s">
        <v>45</v>
      </c>
    </row>
    <row r="4" spans="2:42" ht="16.8" thickTop="1" thickBot="1" x14ac:dyDescent="0.3">
      <c r="B4" s="412" t="s">
        <v>273</v>
      </c>
      <c r="C4" s="413"/>
      <c r="D4" s="419" t="str">
        <f>'اختيار المقررات'!E3</f>
        <v/>
      </c>
      <c r="E4" s="419"/>
      <c r="F4" s="422" t="s">
        <v>274</v>
      </c>
      <c r="G4" s="422"/>
      <c r="H4" s="423" t="str">
        <f>'اختيار المقررات'!AB1</f>
        <v/>
      </c>
      <c r="I4" s="423"/>
      <c r="J4" s="176" t="s">
        <v>275</v>
      </c>
      <c r="K4" s="419" t="str">
        <f>'اختيار المقررات'!AE1</f>
        <v/>
      </c>
      <c r="L4" s="419"/>
      <c r="M4" s="419"/>
      <c r="N4" s="409">
        <f>'اختيار المقررات'!H2</f>
        <v>0</v>
      </c>
      <c r="O4" s="409"/>
      <c r="P4" s="409"/>
      <c r="Q4" s="410" t="s">
        <v>77</v>
      </c>
      <c r="R4" s="411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250"/>
      <c r="AD4" s="250"/>
      <c r="AE4" s="448" t="str">
        <f t="shared" ref="AE4:AE22" si="2">IFERROR(VLOOKUP(AA4,$X$3:$Z$22,3,0),"")</f>
        <v>اسم الام:</v>
      </c>
      <c r="AF4" s="448"/>
      <c r="AG4" s="448"/>
      <c r="AH4" s="250"/>
      <c r="AI4" s="181"/>
      <c r="AP4" s="49" t="s">
        <v>56</v>
      </c>
    </row>
    <row r="5" spans="2:42" ht="16.8" thickTop="1" thickBot="1" x14ac:dyDescent="0.3">
      <c r="B5" s="412" t="s">
        <v>276</v>
      </c>
      <c r="C5" s="413"/>
      <c r="D5" s="419" t="str">
        <f>'اختيار المقررات'!L3</f>
        <v/>
      </c>
      <c r="E5" s="419"/>
      <c r="F5" s="413" t="s">
        <v>277</v>
      </c>
      <c r="G5" s="413"/>
      <c r="H5" s="420">
        <f>'اختيار المقررات'!Q3</f>
        <v>0</v>
      </c>
      <c r="I5" s="420"/>
      <c r="J5" s="176" t="s">
        <v>278</v>
      </c>
      <c r="K5" s="420" t="str">
        <f>'اختيار المقررات'!AB3</f>
        <v>غير سوري</v>
      </c>
      <c r="L5" s="420"/>
      <c r="M5" s="420"/>
      <c r="N5" s="413" t="s">
        <v>279</v>
      </c>
      <c r="O5" s="413"/>
      <c r="P5" s="419" t="str">
        <f>'اختيار المقررات'!W3</f>
        <v>غير سوري</v>
      </c>
      <c r="Q5" s="419"/>
      <c r="R5" s="421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250"/>
      <c r="AD5" s="250"/>
      <c r="AE5" s="448" t="str">
        <f t="shared" si="2"/>
        <v>Full Name</v>
      </c>
      <c r="AF5" s="448"/>
      <c r="AG5" s="448"/>
      <c r="AH5" s="250"/>
      <c r="AI5" s="181"/>
      <c r="AP5" s="64" t="s">
        <v>212</v>
      </c>
    </row>
    <row r="6" spans="2:42" ht="15.75" customHeight="1" thickTop="1" thickBot="1" x14ac:dyDescent="0.3">
      <c r="B6" s="440" t="s">
        <v>280</v>
      </c>
      <c r="C6" s="422"/>
      <c r="D6" s="419" t="str">
        <f>'اختيار المقررات'!AE3</f>
        <v>لايوجد</v>
      </c>
      <c r="E6" s="419"/>
      <c r="F6" s="422" t="s">
        <v>281</v>
      </c>
      <c r="G6" s="422"/>
      <c r="H6" s="419" t="str">
        <f>'اختيار المقررات'!E4</f>
        <v/>
      </c>
      <c r="I6" s="419"/>
      <c r="J6" s="177" t="s">
        <v>282</v>
      </c>
      <c r="K6" s="420" t="str">
        <f>'اختيار المقررات'!Q4</f>
        <v/>
      </c>
      <c r="L6" s="420"/>
      <c r="M6" s="420"/>
      <c r="N6" s="422" t="s">
        <v>283</v>
      </c>
      <c r="O6" s="422"/>
      <c r="P6" s="419" t="str">
        <f>'اختيار المقررات'!L4</f>
        <v/>
      </c>
      <c r="Q6" s="419"/>
      <c r="R6" s="421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250"/>
      <c r="AD6" s="250"/>
      <c r="AE6" s="448" t="str">
        <f t="shared" si="2"/>
        <v>Father Name</v>
      </c>
      <c r="AF6" s="448"/>
      <c r="AG6" s="448"/>
      <c r="AH6" s="250"/>
      <c r="AI6" s="181"/>
      <c r="AP6" s="64" t="s">
        <v>70</v>
      </c>
    </row>
    <row r="7" spans="2:42" ht="15" customHeight="1" thickTop="1" thickBot="1" x14ac:dyDescent="0.3">
      <c r="B7" s="414" t="s">
        <v>284</v>
      </c>
      <c r="C7" s="415"/>
      <c r="D7" s="441">
        <f>'اختيار المقررات'!W4</f>
        <v>0</v>
      </c>
      <c r="E7" s="438"/>
      <c r="F7" s="415" t="s">
        <v>285</v>
      </c>
      <c r="G7" s="415"/>
      <c r="H7" s="436">
        <f>'اختيار المقررات'!AB4</f>
        <v>0</v>
      </c>
      <c r="I7" s="437"/>
      <c r="J7" s="178" t="s">
        <v>66</v>
      </c>
      <c r="K7" s="438">
        <f>'اختيار المقررات'!AE4</f>
        <v>0</v>
      </c>
      <c r="L7" s="438"/>
      <c r="M7" s="438"/>
      <c r="N7" s="438"/>
      <c r="O7" s="438"/>
      <c r="P7" s="438"/>
      <c r="Q7" s="438"/>
      <c r="R7" s="439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250"/>
      <c r="AD7" s="250"/>
      <c r="AE7" s="448" t="str">
        <f t="shared" si="2"/>
        <v>Mother Name</v>
      </c>
      <c r="AF7" s="448"/>
      <c r="AG7" s="448"/>
      <c r="AH7" s="250"/>
      <c r="AI7" s="181"/>
      <c r="AP7" s="64" t="s">
        <v>8</v>
      </c>
    </row>
    <row r="8" spans="2:42" ht="26.25" customHeight="1" thickTop="1" thickBot="1" x14ac:dyDescent="0.3">
      <c r="B8" s="416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250"/>
      <c r="AD8" s="250"/>
      <c r="AE8" s="448" t="str">
        <f t="shared" si="2"/>
        <v>الجنس:</v>
      </c>
      <c r="AF8" s="448"/>
      <c r="AG8" s="448"/>
      <c r="AH8" s="250"/>
      <c r="AI8" s="181"/>
      <c r="AP8" s="1" t="s">
        <v>109</v>
      </c>
    </row>
    <row r="9" spans="2:42" ht="26.25" customHeight="1" thickTop="1" thickBot="1" x14ac:dyDescent="0.3"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53"/>
      <c r="T9" s="53"/>
      <c r="U9" s="53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250"/>
      <c r="AD9" s="250"/>
      <c r="AE9" s="448" t="str">
        <f t="shared" si="2"/>
        <v>تاريخ الميلاد:</v>
      </c>
      <c r="AF9" s="448"/>
      <c r="AG9" s="448"/>
      <c r="AH9" s="250"/>
      <c r="AI9" s="181"/>
      <c r="AP9" s="1" t="s">
        <v>15</v>
      </c>
    </row>
    <row r="10" spans="2:42" ht="16.5" customHeight="1" thickTop="1" thickBot="1" x14ac:dyDescent="0.3"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53"/>
      <c r="T10" s="53"/>
      <c r="U10" s="53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250"/>
      <c r="AD10" s="250"/>
      <c r="AE10" s="448" t="str">
        <f t="shared" si="2"/>
        <v>مكان الميلاد:</v>
      </c>
      <c r="AF10" s="448"/>
      <c r="AG10" s="448"/>
      <c r="AH10" s="250"/>
      <c r="AI10" s="181"/>
    </row>
    <row r="11" spans="2:42" ht="21" customHeight="1" thickTop="1" thickBot="1" x14ac:dyDescent="0.3">
      <c r="B11" s="104"/>
      <c r="C11" s="105" t="s">
        <v>28</v>
      </c>
      <c r="D11" s="471" t="s">
        <v>29</v>
      </c>
      <c r="E11" s="472"/>
      <c r="F11" s="472"/>
      <c r="G11" s="472"/>
      <c r="H11" s="472"/>
      <c r="I11" s="473"/>
      <c r="J11" s="104"/>
      <c r="K11" s="105" t="s">
        <v>28</v>
      </c>
      <c r="L11" s="471" t="s">
        <v>29</v>
      </c>
      <c r="M11" s="472"/>
      <c r="N11" s="472"/>
      <c r="O11" s="472"/>
      <c r="P11" s="472"/>
      <c r="Q11" s="473"/>
      <c r="R11" s="106"/>
      <c r="S11" s="53"/>
      <c r="T11" s="53"/>
      <c r="U11" s="54"/>
      <c r="V11" s="122" t="str">
        <f>IFERROR(SMALL('اختيار المقررات'!$AL$8:$AL$57,'اختيار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250"/>
      <c r="AD11" s="250"/>
      <c r="AE11" s="448" t="str">
        <f t="shared" si="2"/>
        <v>place of birth</v>
      </c>
      <c r="AF11" s="448"/>
      <c r="AG11" s="448"/>
      <c r="AH11" s="250"/>
      <c r="AI11" s="181"/>
    </row>
    <row r="12" spans="2:42" ht="19.2" customHeight="1" thickTop="1" thickBot="1" x14ac:dyDescent="0.3">
      <c r="B12" s="107" t="str">
        <f>V11</f>
        <v/>
      </c>
      <c r="C12" s="108" t="str">
        <f>IFERROR(VLOOKUP(B12,'اختيار المقررات'!AU5:AY54,2,0),"")</f>
        <v/>
      </c>
      <c r="D12" s="406" t="str">
        <f>IFERROR(VLOOKUP(B12,'اختيار المقررات'!AU5:AY54,3,0),"")</f>
        <v/>
      </c>
      <c r="E12" s="406"/>
      <c r="F12" s="406"/>
      <c r="G12" s="406"/>
      <c r="H12" s="109" t="str">
        <f>IFERROR(VLOOKUP(B12,'اختيار المقررات'!AU5:AY54,4,0),"")</f>
        <v/>
      </c>
      <c r="I12" s="110" t="str">
        <f>IFERROR(VLOOKUP(B12,'اختيار المقررات'!AU5:AY54,5,0),"")</f>
        <v/>
      </c>
      <c r="J12" s="107" t="str">
        <f>V19</f>
        <v/>
      </c>
      <c r="K12" s="108" t="str">
        <f>IFERROR(VLOOKUP(J12,'اختيار المقررات'!AU5:AY54,2,0),"")</f>
        <v/>
      </c>
      <c r="L12" s="406" t="str">
        <f>IFERROR(VLOOKUP(J12,'اختيار المقررات'!AU5:AY54,3,0),"")</f>
        <v/>
      </c>
      <c r="M12" s="406"/>
      <c r="N12" s="406"/>
      <c r="O12" s="406"/>
      <c r="P12" s="109" t="str">
        <f>IFERROR(VLOOKUP(J12,'اختيار المقررات'!AU5:AY54,4,0),"")</f>
        <v/>
      </c>
      <c r="Q12" s="110" t="str">
        <f>IFERROR(VLOOKUP(J12,'اختيار المقررات'!AU5:AY54,5,0),"")</f>
        <v/>
      </c>
      <c r="R12" s="54"/>
      <c r="T12" s="111"/>
      <c r="V12" s="122" t="str">
        <f>IFERROR(SMALL('اختيار المقررات'!$AL$8:$AL$57,'اختيار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250"/>
      <c r="AD12" s="250"/>
      <c r="AE12" s="448" t="str">
        <f t="shared" si="2"/>
        <v>الجنسية:</v>
      </c>
      <c r="AF12" s="448"/>
      <c r="AG12" s="448"/>
      <c r="AH12" s="250"/>
      <c r="AI12" s="181"/>
    </row>
    <row r="13" spans="2:42" ht="19.2" customHeight="1" thickTop="1" thickBot="1" x14ac:dyDescent="0.3">
      <c r="B13" s="107" t="str">
        <f t="shared" ref="B13:B19" si="3">V12</f>
        <v/>
      </c>
      <c r="C13" s="108" t="str">
        <f>IFERROR(VLOOKUP(B13,'اختيار المقررات'!AU6:AY55,2,0),"")</f>
        <v/>
      </c>
      <c r="D13" s="406" t="str">
        <f>IFERROR(VLOOKUP(B13,'اختيار المقررات'!AU6:AY55,3,0),"")</f>
        <v/>
      </c>
      <c r="E13" s="406"/>
      <c r="F13" s="406"/>
      <c r="G13" s="406"/>
      <c r="H13" s="109" t="str">
        <f>IFERROR(VLOOKUP(B13,'اختيار المقررات'!AU6:AY55,4,0),"")</f>
        <v/>
      </c>
      <c r="I13" s="110" t="str">
        <f>IFERROR(VLOOKUP(B13,'اختيار المقررات'!AU6:AY55,5,0),"")</f>
        <v/>
      </c>
      <c r="J13" s="107" t="str">
        <f t="shared" ref="J13:J17" si="4">V20</f>
        <v/>
      </c>
      <c r="K13" s="108" t="str">
        <f>IFERROR(VLOOKUP(J13,'اختيار المقررات'!AU6:AY55,2,0),"")</f>
        <v/>
      </c>
      <c r="L13" s="406" t="str">
        <f>IFERROR(VLOOKUP(J13,'اختيار المقررات'!AU6:AY55,3,0),"")</f>
        <v/>
      </c>
      <c r="M13" s="406"/>
      <c r="N13" s="406"/>
      <c r="O13" s="406"/>
      <c r="P13" s="109" t="str">
        <f>IFERROR(VLOOKUP(J13,'اختيار المقررات'!AU6:AY55,4,0),"")</f>
        <v/>
      </c>
      <c r="Q13" s="110" t="str">
        <f>IFERROR(VLOOKUP(J13,'اختيار المقررات'!AU6:AY55,5,0),"")</f>
        <v/>
      </c>
      <c r="R13" s="54"/>
      <c r="S13" s="111"/>
      <c r="T13" s="111"/>
      <c r="U13" s="112"/>
      <c r="V13" s="122" t="str">
        <f>IFERROR(SMALL('اختيار المقررات'!$AL$8:$AL$57,'اختيار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250"/>
      <c r="AD13" s="250"/>
      <c r="AE13" s="448" t="str">
        <f t="shared" si="2"/>
        <v>الرقم الوطني:</v>
      </c>
      <c r="AF13" s="448"/>
      <c r="AG13" s="448"/>
      <c r="AH13" s="250"/>
      <c r="AI13" s="181"/>
    </row>
    <row r="14" spans="2:42" ht="19.2" customHeight="1" thickTop="1" thickBot="1" x14ac:dyDescent="0.3">
      <c r="B14" s="107" t="str">
        <f t="shared" si="3"/>
        <v/>
      </c>
      <c r="C14" s="108" t="str">
        <f>IFERROR(VLOOKUP(B14,'اختيار المقررات'!AU7:AY56,2,0),"")</f>
        <v/>
      </c>
      <c r="D14" s="406" t="str">
        <f>IFERROR(VLOOKUP(B14,'اختيار المقررات'!AU7:AY56,3,0),"")</f>
        <v/>
      </c>
      <c r="E14" s="406"/>
      <c r="F14" s="406"/>
      <c r="G14" s="406"/>
      <c r="H14" s="109" t="str">
        <f>IFERROR(VLOOKUP(B14,'اختيار المقررات'!AU7:AY56,4,0),"")</f>
        <v/>
      </c>
      <c r="I14" s="110" t="str">
        <f>IFERROR(VLOOKUP(B14,'اختيار المقررات'!AU7:AY56,5,0),"")</f>
        <v/>
      </c>
      <c r="J14" s="107" t="str">
        <f t="shared" si="4"/>
        <v/>
      </c>
      <c r="K14" s="108" t="str">
        <f>IFERROR(VLOOKUP(J14,'اختيار المقررات'!AU7:AY56,2,0),"")</f>
        <v/>
      </c>
      <c r="L14" s="406" t="str">
        <f>IFERROR(VLOOKUP(J14,'اختيار المقررات'!AU7:AY56,3,0),"")</f>
        <v/>
      </c>
      <c r="M14" s="406"/>
      <c r="N14" s="406"/>
      <c r="O14" s="406"/>
      <c r="P14" s="109" t="str">
        <f>IFERROR(VLOOKUP(J14,'اختيار المقررات'!AU7:AY56,4,0),"")</f>
        <v/>
      </c>
      <c r="Q14" s="110" t="str">
        <f>IFERROR(VLOOKUP(J14,'اختيار المقررات'!AU7:AY56,5,0),"")</f>
        <v/>
      </c>
      <c r="R14" s="54"/>
      <c r="S14" s="111"/>
      <c r="T14" s="111"/>
      <c r="U14" s="112"/>
      <c r="V14" s="122" t="str">
        <f>IFERROR(SMALL('اختيار المقررات'!$AL$8:$AL$57,'اختيار المقررات'!AM11),"")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250"/>
      <c r="AD14" s="250"/>
      <c r="AE14" s="448" t="str">
        <f t="shared" si="2"/>
        <v>نوع الثانوية:</v>
      </c>
      <c r="AF14" s="448"/>
      <c r="AG14" s="448"/>
      <c r="AH14" s="250"/>
      <c r="AI14" s="181"/>
    </row>
    <row r="15" spans="2:42" ht="19.2" customHeight="1" thickTop="1" thickBot="1" x14ac:dyDescent="0.3">
      <c r="B15" s="107" t="str">
        <f t="shared" si="3"/>
        <v/>
      </c>
      <c r="C15" s="108" t="str">
        <f>IFERROR(VLOOKUP(B15,'اختيار المقررات'!AU8:AY57,2,0),"")</f>
        <v/>
      </c>
      <c r="D15" s="406" t="str">
        <f>IFERROR(VLOOKUP(B15,'اختيار المقررات'!AU8:AY57,3,0),"")</f>
        <v/>
      </c>
      <c r="E15" s="406"/>
      <c r="F15" s="406"/>
      <c r="G15" s="406"/>
      <c r="H15" s="109" t="str">
        <f>IFERROR(VLOOKUP(B15,'اختيار المقررات'!AU8:AY57,4,0),"")</f>
        <v/>
      </c>
      <c r="I15" s="110" t="str">
        <f>IFERROR(VLOOKUP(B15,'اختيار المقررات'!AU8:AY57,5,0),"")</f>
        <v/>
      </c>
      <c r="J15" s="107" t="str">
        <f t="shared" si="4"/>
        <v/>
      </c>
      <c r="K15" s="108" t="str">
        <f>IFERROR(VLOOKUP(J15,'اختيار المقررات'!AU8:AY57,2,0),"")</f>
        <v/>
      </c>
      <c r="L15" s="406" t="str">
        <f>IFERROR(VLOOKUP(J15,'اختيار المقررات'!AU8:AY57,3,0),"")</f>
        <v/>
      </c>
      <c r="M15" s="406"/>
      <c r="N15" s="406"/>
      <c r="O15" s="406"/>
      <c r="P15" s="109" t="str">
        <f>IFERROR(VLOOKUP(J15,'اختيار المقررات'!AU8:AY57,4,0),"")</f>
        <v/>
      </c>
      <c r="Q15" s="110" t="str">
        <f>IFERROR(VLOOKUP(J15,'اختيار المقررات'!AU8:AY57,5,0),"")</f>
        <v/>
      </c>
      <c r="R15" s="54"/>
      <c r="S15" s="111"/>
      <c r="T15" s="111"/>
      <c r="U15" s="112"/>
      <c r="V15" s="122" t="str">
        <f>IFERROR(SMALL('اختيار المقررات'!$AL$8:$AL$57,'اختيار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250"/>
      <c r="AD15" s="250"/>
      <c r="AE15" s="448" t="str">
        <f t="shared" si="2"/>
        <v>محافظتها:</v>
      </c>
      <c r="AF15" s="448"/>
      <c r="AG15" s="448"/>
      <c r="AH15" s="250"/>
      <c r="AI15" s="181"/>
    </row>
    <row r="16" spans="2:42" ht="19.2" customHeight="1" thickTop="1" thickBot="1" x14ac:dyDescent="0.3">
      <c r="B16" s="107" t="str">
        <f t="shared" si="3"/>
        <v/>
      </c>
      <c r="C16" s="108" t="str">
        <f>IFERROR(VLOOKUP(B16,'اختيار المقررات'!AU9:AY58,2,0),"")</f>
        <v/>
      </c>
      <c r="D16" s="406" t="str">
        <f>IFERROR(VLOOKUP(B16,'اختيار المقررات'!AU9:AY58,3,0),"")</f>
        <v/>
      </c>
      <c r="E16" s="406"/>
      <c r="F16" s="406"/>
      <c r="G16" s="406"/>
      <c r="H16" s="109" t="str">
        <f>IFERROR(VLOOKUP(B16,'اختيار المقررات'!AU9:AY58,4,0),"")</f>
        <v/>
      </c>
      <c r="I16" s="110" t="str">
        <f>IFERROR(VLOOKUP(B16,'اختيار المقررات'!AU9:AY58,5,0),"")</f>
        <v/>
      </c>
      <c r="J16" s="107" t="str">
        <f t="shared" si="4"/>
        <v/>
      </c>
      <c r="K16" s="108" t="str">
        <f>IFERROR(VLOOKUP(J16,'اختيار المقررات'!AU9:AY58,2,0),"")</f>
        <v/>
      </c>
      <c r="L16" s="406" t="str">
        <f>IFERROR(VLOOKUP(J16,'اختيار المقررات'!AU9:AY58,3,0),"")</f>
        <v/>
      </c>
      <c r="M16" s="406"/>
      <c r="N16" s="406"/>
      <c r="O16" s="406"/>
      <c r="P16" s="109" t="str">
        <f>IFERROR(VLOOKUP(J16,'اختيار المقررات'!AU9:AY58,4,0),"")</f>
        <v/>
      </c>
      <c r="Q16" s="110" t="str">
        <f>IFERROR(VLOOKUP(J16,'اختيار المقررات'!AU9:AY58,5,0),"")</f>
        <v/>
      </c>
      <c r="R16" s="54"/>
      <c r="S16" s="111"/>
      <c r="T16" s="111"/>
      <c r="U16" s="112"/>
      <c r="V16" s="122" t="str">
        <f>IFERROR(SMALL('اختيار المقررات'!$AL$8:$AL$57,'اختيار المقررات'!AM13),"")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250"/>
      <c r="AD16" s="250"/>
      <c r="AE16" s="448" t="str">
        <f t="shared" si="2"/>
        <v>عامها:</v>
      </c>
      <c r="AF16" s="448"/>
      <c r="AG16" s="448"/>
      <c r="AH16" s="250"/>
      <c r="AI16" s="181"/>
    </row>
    <row r="17" spans="2:35" ht="19.2" customHeight="1" thickTop="1" thickBot="1" x14ac:dyDescent="0.3">
      <c r="B17" s="107" t="str">
        <f t="shared" si="3"/>
        <v/>
      </c>
      <c r="C17" s="108" t="str">
        <f>IFERROR(VLOOKUP(B17,'اختيار المقررات'!AU10:AY59,2,0),"")</f>
        <v/>
      </c>
      <c r="D17" s="406" t="str">
        <f>IFERROR(VLOOKUP(B17,'اختيار المقررات'!AU10:AY59,3,0),"")</f>
        <v/>
      </c>
      <c r="E17" s="406"/>
      <c r="F17" s="406"/>
      <c r="G17" s="406"/>
      <c r="H17" s="109" t="str">
        <f>IFERROR(VLOOKUP(B17,'اختيار المقررات'!AU10:AY59,4,0),"")</f>
        <v/>
      </c>
      <c r="I17" s="110" t="str">
        <f>IFERROR(VLOOKUP(B17,'اختيار المقررات'!AU10:AY59,5,0),"")</f>
        <v/>
      </c>
      <c r="J17" s="107" t="str">
        <f t="shared" si="4"/>
        <v/>
      </c>
      <c r="K17" s="108" t="str">
        <f>IFERROR(VLOOKUP(J17,'اختيار المقررات'!AU10:AY59,2,0),"")</f>
        <v/>
      </c>
      <c r="L17" s="406" t="str">
        <f>IFERROR(VLOOKUP(J17,'اختيار المقررات'!AU10:AY59,3,0),"")</f>
        <v/>
      </c>
      <c r="M17" s="406"/>
      <c r="N17" s="406"/>
      <c r="O17" s="406"/>
      <c r="P17" s="109" t="str">
        <f>IFERROR(VLOOKUP(J17,'اختيار المقررات'!AU10:AY59,4,0),"")</f>
        <v/>
      </c>
      <c r="Q17" s="110" t="str">
        <f>IFERROR(VLOOKUP(J17,'اختيار المقررات'!AU10:AY59,5,0),"")</f>
        <v/>
      </c>
      <c r="R17" s="54"/>
      <c r="S17" s="111"/>
      <c r="T17" s="111"/>
      <c r="U17" s="112"/>
      <c r="V17" s="122" t="str">
        <f>IFERROR(SMALL('اختيار المقررات'!$AL$8:$AL$57,'اختيار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250"/>
      <c r="AD17" s="250"/>
      <c r="AE17" s="448" t="str">
        <f t="shared" si="2"/>
        <v>الموبايل:</v>
      </c>
      <c r="AF17" s="448"/>
      <c r="AG17" s="448"/>
      <c r="AH17" s="250"/>
      <c r="AI17" s="181"/>
    </row>
    <row r="18" spans="2:35" ht="19.2" customHeight="1" thickTop="1" thickBot="1" x14ac:dyDescent="0.3">
      <c r="B18" s="107" t="str">
        <f t="shared" si="3"/>
        <v/>
      </c>
      <c r="C18" s="108" t="str">
        <f>IFERROR(VLOOKUP(B18,'اختيار المقررات'!AU11:AY60,2,0),"")</f>
        <v/>
      </c>
      <c r="D18" s="406" t="str">
        <f>IFERROR(VLOOKUP(B18,'اختيار المقررات'!AU11:AY60,3,0),"")</f>
        <v/>
      </c>
      <c r="E18" s="406"/>
      <c r="F18" s="406"/>
      <c r="G18" s="406"/>
      <c r="H18" s="109" t="str">
        <f>IFERROR(VLOOKUP(B18,'اختيار المقررات'!AU11:AY60,4,0),"")</f>
        <v/>
      </c>
      <c r="I18" s="110" t="str">
        <f>IFERROR(VLOOKUP(B18,'اختيار المقررات'!AU11:AY60,5,0),"")</f>
        <v/>
      </c>
      <c r="J18" s="107" t="str">
        <f>V26</f>
        <v/>
      </c>
      <c r="K18" s="108" t="str">
        <f>IFERROR(VLOOKUP(J18,'اختيار المقررات'!AU11:AY60,2,0),"")</f>
        <v/>
      </c>
      <c r="L18" s="406" t="str">
        <f>IFERROR(VLOOKUP(J18,'اختيار المقررات'!AU11:AY60,3,0),"")</f>
        <v/>
      </c>
      <c r="M18" s="406"/>
      <c r="N18" s="406"/>
      <c r="O18" s="406"/>
      <c r="P18" s="109" t="str">
        <f>IFERROR(VLOOKUP(J18,'اختيار المقررات'!AU11:AY60,4,0),"")</f>
        <v/>
      </c>
      <c r="Q18" s="110" t="str">
        <f>IFERROR(VLOOKUP(J18,'اختيار المقررات'!AU11:AY60,5,0),"")</f>
        <v/>
      </c>
      <c r="R18" s="54"/>
      <c r="S18" s="111"/>
      <c r="T18" s="111"/>
      <c r="U18" s="112"/>
      <c r="V18" s="122" t="str">
        <f>IFERROR(SMALL('اختيار المقررات'!$AL$8:$AL$57,'اختيار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250"/>
      <c r="AD18" s="250"/>
      <c r="AE18" s="448" t="str">
        <f t="shared" si="2"/>
        <v>الهاتف:</v>
      </c>
      <c r="AF18" s="448"/>
      <c r="AG18" s="448"/>
      <c r="AH18" s="250"/>
      <c r="AI18" s="181"/>
    </row>
    <row r="19" spans="2:35" ht="19.2" customHeight="1" thickTop="1" thickBot="1" x14ac:dyDescent="0.3">
      <c r="B19" s="107" t="str">
        <f t="shared" si="3"/>
        <v/>
      </c>
      <c r="C19" s="108" t="str">
        <f>IFERROR(VLOOKUP(B19,'اختيار المقررات'!AU12:AY61,2,0),"")</f>
        <v/>
      </c>
      <c r="D19" s="406" t="str">
        <f>IFERROR(VLOOKUP(B19,'اختيار المقررات'!AU12:AY61,3,0),"")</f>
        <v/>
      </c>
      <c r="E19" s="406"/>
      <c r="F19" s="406"/>
      <c r="G19" s="406"/>
      <c r="H19" s="109" t="str">
        <f>IFERROR(VLOOKUP(B19,'اختيار المقررات'!AU12:AY61,4,0),"")</f>
        <v/>
      </c>
      <c r="I19" s="110" t="str">
        <f>IFERROR(VLOOKUP(B19,'اختيار المقررات'!AU12:AY61,5,0),"")</f>
        <v/>
      </c>
      <c r="J19" s="107" t="str">
        <f>V27</f>
        <v/>
      </c>
      <c r="K19" s="108" t="str">
        <f>IFERROR(VLOOKUP(J19,'اختيار المقررات'!AU12:AY61,2,0),"")</f>
        <v/>
      </c>
      <c r="L19" s="406" t="str">
        <f>IFERROR(VLOOKUP(J19,'اختيار المقررات'!AU12:AY61,3,0),"")</f>
        <v/>
      </c>
      <c r="M19" s="406"/>
      <c r="N19" s="406"/>
      <c r="O19" s="406"/>
      <c r="P19" s="109" t="str">
        <f>IFERROR(VLOOKUP(J19,'اختيار المقررات'!AU12:AY61,4,0),"")</f>
        <v/>
      </c>
      <c r="Q19" s="110" t="str">
        <f>IFERROR(VLOOKUP(J19,'اختيار المقررات'!AU12:AY61,5,0),"")</f>
        <v/>
      </c>
      <c r="R19" s="54"/>
      <c r="S19" s="111"/>
      <c r="T19" s="111"/>
      <c r="U19" s="112"/>
      <c r="V19" s="122" t="str">
        <f>IFERROR(SMALL('اختيار المقررات'!$AL$8:$AL$57,'اختيار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250"/>
      <c r="AD19" s="250"/>
      <c r="AE19" s="448" t="str">
        <f t="shared" si="2"/>
        <v>العنوان :</v>
      </c>
      <c r="AF19" s="448"/>
      <c r="AG19" s="448"/>
      <c r="AH19" s="250"/>
      <c r="AI19" s="181"/>
    </row>
    <row r="20" spans="2:35" ht="6.75" customHeight="1" thickTop="1" thickBot="1" x14ac:dyDescent="0.3">
      <c r="B20" s="107"/>
      <c r="C20" s="54"/>
      <c r="D20" s="54"/>
      <c r="E20" s="54"/>
      <c r="F20" s="54"/>
      <c r="G20" s="54"/>
      <c r="H20" s="112"/>
      <c r="I20" s="112"/>
      <c r="J20" s="107"/>
      <c r="K20" s="54"/>
      <c r="L20" s="54"/>
      <c r="M20" s="54"/>
      <c r="N20" s="54"/>
      <c r="O20" s="54"/>
      <c r="P20" s="112"/>
      <c r="Q20" s="112"/>
      <c r="R20" s="54"/>
      <c r="S20" s="111"/>
      <c r="T20" s="111"/>
      <c r="U20" s="112"/>
      <c r="V20" s="122" t="str">
        <f>IFERROR(SMALL('اختيار المقررات'!$AL$8:$AL$57,'اختيار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250"/>
      <c r="AD20" s="250"/>
      <c r="AE20" s="448" t="str">
        <f t="shared" si="2"/>
        <v/>
      </c>
      <c r="AF20" s="448"/>
      <c r="AG20" s="448"/>
      <c r="AH20" s="250"/>
      <c r="AI20" s="181"/>
    </row>
    <row r="21" spans="2:35" ht="18" customHeight="1" thickTop="1" thickBot="1" x14ac:dyDescent="0.3">
      <c r="B21" s="407" t="s">
        <v>72</v>
      </c>
      <c r="C21" s="408"/>
      <c r="D21" s="408"/>
      <c r="E21" s="408"/>
      <c r="F21" s="183">
        <f>'اختيار المقررات'!V30</f>
        <v>0</v>
      </c>
      <c r="G21" s="408" t="s">
        <v>73</v>
      </c>
      <c r="H21" s="408"/>
      <c r="I21" s="408"/>
      <c r="J21" s="408"/>
      <c r="K21" s="420">
        <f>'اختيار المقررات'!AB30</f>
        <v>0</v>
      </c>
      <c r="L21" s="420"/>
      <c r="M21" s="408" t="s">
        <v>74</v>
      </c>
      <c r="N21" s="408"/>
      <c r="O21" s="408"/>
      <c r="P21" s="408"/>
      <c r="Q21" s="420">
        <f>'اختيار المقررات'!AG30</f>
        <v>0</v>
      </c>
      <c r="R21" s="487"/>
      <c r="S21" s="113"/>
      <c r="V21" s="122" t="str">
        <f>IFERROR(SMALL('اختيار المقررات'!$AL$8:$AL$57,'اختيار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250"/>
      <c r="AD21" s="250"/>
      <c r="AE21" s="448" t="str">
        <f t="shared" si="2"/>
        <v/>
      </c>
      <c r="AF21" s="448"/>
      <c r="AG21" s="448"/>
      <c r="AH21" s="250"/>
      <c r="AI21" s="181"/>
    </row>
    <row r="22" spans="2:35" ht="18" customHeight="1" thickTop="1" x14ac:dyDescent="0.25">
      <c r="B22" s="481" t="s">
        <v>67</v>
      </c>
      <c r="C22" s="482"/>
      <c r="D22" s="482"/>
      <c r="E22" s="463">
        <f>'اختيار المقررات'!F5</f>
        <v>0</v>
      </c>
      <c r="F22" s="463"/>
      <c r="G22" s="463"/>
      <c r="H22" s="463"/>
      <c r="I22" s="464"/>
      <c r="J22" s="184" t="s">
        <v>57</v>
      </c>
      <c r="K22" s="419">
        <f>'اختيار المقررات'!Q5</f>
        <v>0</v>
      </c>
      <c r="L22" s="419"/>
      <c r="M22" s="185" t="s">
        <v>0</v>
      </c>
      <c r="N22" s="423">
        <f>'اختيار المقررات'!W5</f>
        <v>0</v>
      </c>
      <c r="O22" s="423"/>
      <c r="P22" s="186"/>
      <c r="Q22" s="186"/>
      <c r="R22" s="186"/>
      <c r="U22" s="122" t="str">
        <f>IFERROR(SMALL('اختيار المقررات'!$C$35:$C$38,'اختيار المقررات'!AM8),"")</f>
        <v/>
      </c>
      <c r="V22" s="122" t="str">
        <f>IFERROR(SMALL('اختيار المقررات'!$AL$8:$AL$57,'اختيار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250"/>
      <c r="AD22" s="250"/>
      <c r="AE22" s="448" t="str">
        <f t="shared" si="2"/>
        <v/>
      </c>
      <c r="AF22" s="448"/>
      <c r="AG22" s="448"/>
      <c r="AH22" s="250"/>
      <c r="AI22" s="181"/>
    </row>
    <row r="23" spans="2:35" ht="18" customHeight="1" x14ac:dyDescent="0.25">
      <c r="B23" s="477" t="s">
        <v>71</v>
      </c>
      <c r="C23" s="478"/>
      <c r="D23" s="478"/>
      <c r="E23" s="465">
        <f>'اختيار المقررات'!AD27</f>
        <v>37000</v>
      </c>
      <c r="F23" s="465"/>
      <c r="G23" s="466"/>
      <c r="H23" s="449" t="s">
        <v>286</v>
      </c>
      <c r="I23" s="450"/>
      <c r="J23" s="451">
        <f>'اختيار المقررات'!AB5</f>
        <v>0</v>
      </c>
      <c r="K23" s="451"/>
      <c r="L23" s="452"/>
      <c r="M23" s="450" t="s">
        <v>218</v>
      </c>
      <c r="N23" s="450"/>
      <c r="O23" s="450" t="s">
        <v>217</v>
      </c>
      <c r="P23" s="450"/>
      <c r="Q23" s="450" t="s">
        <v>287</v>
      </c>
      <c r="R23" s="454"/>
      <c r="U23" s="122" t="str">
        <f>IFERROR(SMALL('اختيار المقررات'!$C$35:$C$38,'اختيار المقررات'!AM9),"")</f>
        <v/>
      </c>
      <c r="V23" s="122" t="str">
        <f>IFERROR(SMALL('اختيار المقررات'!$AL$8:$AL$57,'اختيار المقررات'!AM20),"")</f>
        <v/>
      </c>
      <c r="W23" s="122" t="str">
        <f>IFERROR(SMALL($D$37:$D$40,BH3),"")</f>
        <v/>
      </c>
    </row>
    <row r="24" spans="2:35" ht="18" customHeight="1" x14ac:dyDescent="0.25">
      <c r="B24" s="477" t="s">
        <v>216</v>
      </c>
      <c r="C24" s="478"/>
      <c r="D24" s="478"/>
      <c r="E24" s="457">
        <f>'اختيار المقررات'!W27</f>
        <v>0</v>
      </c>
      <c r="F24" s="457"/>
      <c r="G24" s="458"/>
      <c r="H24" s="456" t="s">
        <v>25</v>
      </c>
      <c r="I24" s="453"/>
      <c r="J24" s="457" t="e">
        <f>'اختيار المقررات'!N27</f>
        <v>#N/A</v>
      </c>
      <c r="K24" s="457"/>
      <c r="L24" s="458"/>
      <c r="M24" s="453"/>
      <c r="N24" s="453"/>
      <c r="O24" s="453"/>
      <c r="P24" s="453"/>
      <c r="Q24" s="453"/>
      <c r="R24" s="455"/>
      <c r="U24" s="122" t="str">
        <f>IFERROR(SMALL('اختيار المقررات'!$C$35:$C$38,'اختيار المقررات'!AM10),"")</f>
        <v/>
      </c>
      <c r="V24" s="122" t="str">
        <f>IFERROR(SMALL('اختيار المقررات'!$AL$8:$AL$57,'اختيار المقررات'!AM21),"")</f>
        <v/>
      </c>
    </row>
    <row r="25" spans="2:35" ht="18" customHeight="1" x14ac:dyDescent="0.25">
      <c r="B25" s="477" t="s">
        <v>215</v>
      </c>
      <c r="C25" s="478"/>
      <c r="D25" s="478"/>
      <c r="E25" s="457" t="e">
        <f>'اختيار المقررات'!N28</f>
        <v>#N/A</v>
      </c>
      <c r="F25" s="457"/>
      <c r="G25" s="458"/>
      <c r="H25" s="459" t="s">
        <v>20</v>
      </c>
      <c r="I25" s="460"/>
      <c r="J25" s="187" t="str">
        <f>'اختيار المقررات'!N29</f>
        <v>لا</v>
      </c>
      <c r="K25" s="187"/>
      <c r="L25" s="188"/>
      <c r="M25" s="453"/>
      <c r="N25" s="453"/>
      <c r="O25" s="453"/>
      <c r="P25" s="453"/>
      <c r="Q25" s="453"/>
      <c r="R25" s="455"/>
      <c r="U25" s="122" t="str">
        <f>IFERROR(SMALL('اختيار المقررات'!$C$35:$C$38,'اختيار المقررات'!AM11),"")</f>
        <v/>
      </c>
    </row>
    <row r="26" spans="2:35" ht="18" customHeight="1" x14ac:dyDescent="0.25">
      <c r="B26" s="479" t="s">
        <v>23</v>
      </c>
      <c r="C26" s="480"/>
      <c r="D26" s="480"/>
      <c r="E26" s="467" t="e">
        <f>'اختيار المقررات'!W28</f>
        <v>#N/A</v>
      </c>
      <c r="F26" s="467"/>
      <c r="G26" s="467"/>
      <c r="H26" s="189"/>
      <c r="I26" s="189"/>
      <c r="J26" s="190"/>
      <c r="K26" s="190"/>
      <c r="L26" s="191"/>
      <c r="M26" s="453"/>
      <c r="N26" s="453"/>
      <c r="O26" s="453"/>
      <c r="P26" s="453"/>
      <c r="Q26" s="453"/>
      <c r="R26" s="455"/>
      <c r="V26" s="122" t="str">
        <f>IFERROR(SMALL('اختيار المقررات'!$AL$8:$AL$57,'اختيار المقررات'!AM22),"")</f>
        <v/>
      </c>
    </row>
    <row r="27" spans="2:35" ht="18" customHeight="1" x14ac:dyDescent="0.25">
      <c r="B27" s="489" t="str">
        <f>IF(B28&lt;&gt;"",'اختيار المقررات'!C27,"")</f>
        <v/>
      </c>
      <c r="C27" s="490"/>
      <c r="D27" s="490"/>
      <c r="E27" s="490"/>
      <c r="F27" s="490"/>
      <c r="G27" s="490"/>
      <c r="H27" s="490"/>
      <c r="I27" s="490"/>
      <c r="J27" s="490"/>
      <c r="K27" s="490"/>
      <c r="L27" s="491"/>
      <c r="M27" s="453"/>
      <c r="N27" s="453"/>
      <c r="O27" s="453"/>
      <c r="P27" s="453"/>
      <c r="Q27" s="453"/>
      <c r="R27" s="455"/>
      <c r="V27" s="122" t="str">
        <f>IFERROR(SMALL('اختيار المقررات'!$AL$8:$AL$57,'اختيار المقررات'!AM23),"")</f>
        <v/>
      </c>
    </row>
    <row r="28" spans="2:35" ht="18" customHeight="1" x14ac:dyDescent="0.25">
      <c r="B28" s="469" t="str">
        <f>'اختيار المقررات'!C28</f>
        <v/>
      </c>
      <c r="C28" s="470"/>
      <c r="D28" s="470"/>
      <c r="E28" s="470"/>
      <c r="F28" s="470"/>
      <c r="G28" s="470" t="str">
        <f>'اختيار المقررات'!C29</f>
        <v/>
      </c>
      <c r="H28" s="470"/>
      <c r="I28" s="470"/>
      <c r="J28" s="470"/>
      <c r="K28" s="470"/>
      <c r="L28" s="488"/>
      <c r="M28" s="453"/>
      <c r="N28" s="453"/>
      <c r="O28" s="453"/>
      <c r="P28" s="453"/>
      <c r="Q28" s="453"/>
      <c r="R28" s="455"/>
      <c r="V28" s="122" t="str">
        <f>IFERROR(SMALL('اختيار المقررات'!$AL$8:$AL$57,'اختيار المقررات'!AM24),"")</f>
        <v/>
      </c>
    </row>
    <row r="29" spans="2:35" ht="18" customHeight="1" x14ac:dyDescent="0.25">
      <c r="B29" s="469" t="str">
        <f>'اختيار المقررات'!C30</f>
        <v/>
      </c>
      <c r="C29" s="470"/>
      <c r="D29" s="470"/>
      <c r="E29" s="470"/>
      <c r="F29" s="470"/>
      <c r="G29" s="470" t="str">
        <f>'اختيار المقررات'!C31</f>
        <v/>
      </c>
      <c r="H29" s="470"/>
      <c r="I29" s="470"/>
      <c r="J29" s="470"/>
      <c r="K29" s="470"/>
      <c r="L29" s="488"/>
      <c r="M29" s="453"/>
      <c r="N29" s="453"/>
      <c r="O29" s="453"/>
      <c r="P29" s="453"/>
      <c r="Q29" s="453"/>
      <c r="R29" s="455"/>
      <c r="V29" s="122" t="str">
        <f>IFERROR(SMALL('اختيار المقررات'!$AL$8:$AL$57,'اختيار المقررات'!AM25),"")</f>
        <v/>
      </c>
      <c r="W29" s="53" t="str">
        <f>U22</f>
        <v/>
      </c>
    </row>
    <row r="30" spans="2:35" ht="16.5" customHeight="1" x14ac:dyDescent="0.25">
      <c r="B30" s="468" t="str">
        <f>'اختيار المقررات'!C32</f>
        <v/>
      </c>
      <c r="C30" s="461"/>
      <c r="D30" s="461"/>
      <c r="E30" s="461"/>
      <c r="F30" s="461"/>
      <c r="G30" s="461"/>
      <c r="H30" s="461"/>
      <c r="I30" s="461"/>
      <c r="J30" s="461"/>
      <c r="K30" s="461"/>
      <c r="L30" s="462"/>
      <c r="M30" s="453"/>
      <c r="N30" s="453"/>
      <c r="O30" s="453"/>
      <c r="P30" s="453"/>
      <c r="Q30" s="453"/>
      <c r="R30" s="455"/>
      <c r="V30" s="122" t="str">
        <f>IFERROR(SMALL('اختيار المقررات'!$AL$8:$AL$57,'اختيار المقررات'!AM26),"")</f>
        <v/>
      </c>
      <c r="W30" s="53" t="str">
        <f>U24</f>
        <v/>
      </c>
    </row>
    <row r="31" spans="2:35" ht="16.5" customHeight="1" x14ac:dyDescent="0.25">
      <c r="B31" s="483" t="s">
        <v>288</v>
      </c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5"/>
      <c r="V31" s="122" t="str">
        <f>IFERROR(SMALL('اختيار المقررات'!$AL$8:$AL$57,'اختيار المقررات'!AM27),"")</f>
        <v/>
      </c>
      <c r="W31" s="53" t="str">
        <f>U23</f>
        <v/>
      </c>
    </row>
    <row r="32" spans="2:35" ht="16.5" customHeight="1" x14ac:dyDescent="0.25">
      <c r="B32" s="492" t="s">
        <v>24</v>
      </c>
      <c r="C32" s="492"/>
      <c r="D32" s="492"/>
      <c r="E32" s="492"/>
      <c r="F32" s="492"/>
      <c r="G32" s="492"/>
      <c r="H32" s="492"/>
      <c r="I32" s="492"/>
      <c r="J32" s="492"/>
      <c r="K32" s="492"/>
      <c r="L32" s="492"/>
      <c r="M32" s="492"/>
      <c r="N32" s="492"/>
      <c r="O32" s="492"/>
      <c r="P32" s="492"/>
      <c r="Q32" s="492"/>
      <c r="R32" s="492"/>
      <c r="W32" s="53"/>
    </row>
    <row r="33" spans="2:36" s="214" customFormat="1" ht="18" customHeight="1" x14ac:dyDescent="0.25">
      <c r="B33" s="493" t="s">
        <v>30</v>
      </c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493"/>
      <c r="N33" s="493"/>
      <c r="O33" s="493"/>
      <c r="P33" s="493"/>
      <c r="Q33" s="493"/>
      <c r="R33" s="493"/>
      <c r="W33" s="215"/>
      <c r="X33" s="216"/>
      <c r="Y33" s="216"/>
      <c r="Z33" s="216"/>
      <c r="AA33" s="216"/>
      <c r="AB33" s="216"/>
      <c r="AC33" s="252"/>
      <c r="AD33" s="252"/>
      <c r="AE33" s="252"/>
      <c r="AF33" s="252"/>
      <c r="AG33" s="252"/>
      <c r="AH33" s="252"/>
      <c r="AI33" s="216"/>
      <c r="AJ33" s="216"/>
    </row>
    <row r="34" spans="2:36" s="214" customFormat="1" ht="18" customHeight="1" x14ac:dyDescent="0.25">
      <c r="B34" s="474" t="s">
        <v>31</v>
      </c>
      <c r="C34" s="474"/>
      <c r="D34" s="474"/>
      <c r="E34" s="474"/>
      <c r="F34" s="475" t="e">
        <f>'اختيار المقررات'!W29</f>
        <v>#N/A</v>
      </c>
      <c r="G34" s="475"/>
      <c r="H34" s="486" t="str">
        <f>IF(D4="أنثى","ليرة سورية فقط لا غير من الطالبة","ليرة سورية فقط لا غير من الطالب")&amp;" "&amp;H2</f>
        <v xml:space="preserve">ليرة سورية فقط لا غير من الطالب </v>
      </c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V34" s="214" t="str">
        <f>IFERROR(SMALL('اختيار المقررات'!$AL$8:$AL$57,'اختيار المقررات'!AM28),"")</f>
        <v/>
      </c>
      <c r="W34" s="215" t="str">
        <f>U25</f>
        <v/>
      </c>
      <c r="X34" s="216"/>
      <c r="Y34" s="216"/>
      <c r="Z34" s="216"/>
      <c r="AA34" s="216"/>
      <c r="AB34" s="216"/>
      <c r="AC34" s="252"/>
      <c r="AD34" s="252"/>
      <c r="AE34" s="252"/>
      <c r="AF34" s="252"/>
      <c r="AG34" s="252"/>
      <c r="AH34" s="252"/>
      <c r="AI34" s="216"/>
      <c r="AJ34" s="216"/>
    </row>
    <row r="35" spans="2:36" s="214" customFormat="1" ht="18" customHeight="1" x14ac:dyDescent="0.25">
      <c r="B35" s="474" t="str">
        <f>IF(D4="أنثى","رقمها الامتحاني","رقمه الامتحاني")</f>
        <v>رقمه الامتحاني</v>
      </c>
      <c r="C35" s="474"/>
      <c r="D35" s="474"/>
      <c r="E35" s="475">
        <f>D2</f>
        <v>0</v>
      </c>
      <c r="F35" s="475"/>
      <c r="G35" s="474" t="s">
        <v>32</v>
      </c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V35" s="214" t="str">
        <f>IFERROR(SMALL('اختيار المقررات'!$AL$8:$AL$57,'اختيار المقررات'!AM29),"")</f>
        <v/>
      </c>
      <c r="X35" s="216"/>
      <c r="Y35" s="216"/>
      <c r="Z35" s="216"/>
      <c r="AA35" s="216"/>
      <c r="AB35" s="216"/>
      <c r="AC35" s="252"/>
      <c r="AD35" s="252"/>
      <c r="AE35" s="252"/>
      <c r="AF35" s="252"/>
      <c r="AG35" s="252"/>
      <c r="AH35" s="252"/>
      <c r="AI35" s="216"/>
      <c r="AJ35" s="216"/>
    </row>
    <row r="36" spans="2:36" s="214" customFormat="1" ht="18" customHeight="1" x14ac:dyDescent="0.25">
      <c r="B36" s="217"/>
      <c r="C36" s="218"/>
      <c r="D36" s="476"/>
      <c r="E36" s="476"/>
      <c r="F36" s="476"/>
      <c r="G36" s="476"/>
      <c r="H36" s="476"/>
      <c r="I36" s="219"/>
      <c r="J36" s="219"/>
      <c r="K36" s="217"/>
      <c r="L36" s="218"/>
      <c r="M36" s="476"/>
      <c r="N36" s="476"/>
      <c r="O36" s="476"/>
      <c r="P36" s="476"/>
      <c r="Q36" s="219"/>
      <c r="R36" s="219"/>
      <c r="V36" s="214" t="str">
        <f>IFERROR(SMALL('اختيار المقررات'!$AL$8:$AL$57,'اختيار المقررات'!AM30),"")</f>
        <v/>
      </c>
      <c r="X36" s="216"/>
      <c r="Y36" s="216"/>
      <c r="Z36" s="216"/>
      <c r="AA36" s="216"/>
      <c r="AB36" s="216"/>
      <c r="AC36" s="252"/>
      <c r="AD36" s="252"/>
      <c r="AE36" s="252"/>
      <c r="AF36" s="252"/>
      <c r="AG36" s="252"/>
      <c r="AH36" s="252"/>
      <c r="AI36" s="216"/>
      <c r="AJ36" s="216"/>
    </row>
    <row r="37" spans="2:36" s="214" customFormat="1" ht="18" customHeight="1" x14ac:dyDescent="0.25">
      <c r="B37" s="492" t="s">
        <v>26</v>
      </c>
      <c r="C37" s="492"/>
      <c r="D37" s="492"/>
      <c r="E37" s="492"/>
      <c r="F37" s="492"/>
      <c r="G37" s="492"/>
      <c r="H37" s="492"/>
      <c r="I37" s="492"/>
      <c r="J37" s="492"/>
      <c r="K37" s="492"/>
      <c r="L37" s="492"/>
      <c r="M37" s="492"/>
      <c r="N37" s="492"/>
      <c r="O37" s="492"/>
      <c r="P37" s="492"/>
      <c r="Q37" s="492"/>
      <c r="R37" s="492"/>
      <c r="V37" s="214" t="str">
        <f>IFERROR(SMALL('اختيار المقررات'!$AL$8:$AL$57,'اختيار المقررات'!AM31),"")</f>
        <v/>
      </c>
      <c r="X37" s="216"/>
      <c r="Y37" s="216"/>
      <c r="Z37" s="216"/>
      <c r="AA37" s="216"/>
      <c r="AB37" s="216"/>
      <c r="AC37" s="252"/>
      <c r="AD37" s="252"/>
      <c r="AE37" s="252"/>
      <c r="AF37" s="252"/>
      <c r="AG37" s="252"/>
      <c r="AH37" s="252"/>
      <c r="AI37" s="216"/>
      <c r="AJ37" s="216"/>
    </row>
    <row r="38" spans="2:36" s="214" customFormat="1" ht="18" customHeight="1" x14ac:dyDescent="0.25">
      <c r="B38" s="493" t="s">
        <v>30</v>
      </c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493"/>
      <c r="O38" s="493"/>
      <c r="P38" s="493"/>
      <c r="Q38" s="493"/>
      <c r="R38" s="493"/>
      <c r="V38" s="214" t="str">
        <f>IFERROR(SMALL('اختيار المقررات'!$AL$8:$AL$57,'اختيار المقررات'!AM32),"")</f>
        <v/>
      </c>
      <c r="X38" s="216"/>
      <c r="Y38" s="216"/>
      <c r="Z38" s="216"/>
      <c r="AA38" s="216"/>
      <c r="AB38" s="216"/>
      <c r="AC38" s="252"/>
      <c r="AD38" s="252"/>
      <c r="AE38" s="252"/>
      <c r="AF38" s="252"/>
      <c r="AG38" s="252"/>
      <c r="AH38" s="252"/>
      <c r="AI38" s="216"/>
      <c r="AJ38" s="216"/>
    </row>
    <row r="39" spans="2:36" s="214" customFormat="1" ht="18" customHeight="1" x14ac:dyDescent="0.25">
      <c r="B39" s="474" t="s">
        <v>31</v>
      </c>
      <c r="C39" s="474"/>
      <c r="D39" s="474"/>
      <c r="E39" s="474"/>
      <c r="F39" s="475" t="e">
        <f>'اختيار المقررات'!AD29</f>
        <v>#N/A</v>
      </c>
      <c r="G39" s="475"/>
      <c r="H39" s="494" t="str">
        <f>H34</f>
        <v xml:space="preserve">ليرة سورية فقط لا غير من الطالب </v>
      </c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V39" s="214" t="str">
        <f>IFERROR(SMALL('اختيار المقررات'!$AL$8:$AL$57,'اختيار المقررات'!AM33),"")</f>
        <v/>
      </c>
      <c r="X39" s="216"/>
      <c r="Y39" s="216"/>
      <c r="Z39" s="216"/>
      <c r="AA39" s="216"/>
      <c r="AB39" s="216"/>
      <c r="AC39" s="252"/>
      <c r="AD39" s="252"/>
      <c r="AE39" s="252"/>
      <c r="AF39" s="252"/>
      <c r="AG39" s="252"/>
      <c r="AH39" s="252"/>
      <c r="AI39" s="216"/>
      <c r="AJ39" s="216"/>
    </row>
    <row r="40" spans="2:36" s="214" customFormat="1" ht="18" customHeight="1" x14ac:dyDescent="0.25">
      <c r="B40" s="495" t="str">
        <f>B35</f>
        <v>رقمه الامتحاني</v>
      </c>
      <c r="C40" s="495"/>
      <c r="D40" s="495"/>
      <c r="E40" s="496">
        <f>E35</f>
        <v>0</v>
      </c>
      <c r="F40" s="496"/>
      <c r="G40" s="497" t="str">
        <f>G35</f>
        <v xml:space="preserve">وتحويله إلى حساب التعليم المفتوح رقم ck1-10173186 وتسليم إشعار القبض إلى صاحب العلاقة  </v>
      </c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V40" s="214" t="str">
        <f>IFERROR(SMALL('اختيار المقررات'!$AL$8:$AL$57,'اختيار المقررات'!AM34),"")</f>
        <v/>
      </c>
      <c r="X40" s="216"/>
      <c r="Y40" s="216"/>
      <c r="Z40" s="216"/>
      <c r="AA40" s="216"/>
      <c r="AB40" s="216"/>
      <c r="AC40" s="252"/>
      <c r="AD40" s="252"/>
      <c r="AE40" s="252"/>
      <c r="AF40" s="252"/>
      <c r="AG40" s="252"/>
      <c r="AH40" s="252"/>
      <c r="AI40" s="216"/>
      <c r="AJ40" s="216"/>
    </row>
    <row r="41" spans="2:36" s="214" customFormat="1" ht="18" customHeight="1" x14ac:dyDescent="0.25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V41" s="214" t="str">
        <f>IFERROR(SMALL('اختيار المقررات'!$AL$8:$AL$57,'اختيار المقررات'!AM35),"")</f>
        <v/>
      </c>
      <c r="X41" s="216"/>
      <c r="Y41" s="216"/>
      <c r="Z41" s="216"/>
      <c r="AA41" s="216"/>
      <c r="AB41" s="216"/>
      <c r="AC41" s="252"/>
      <c r="AD41" s="252"/>
      <c r="AE41" s="252"/>
      <c r="AF41" s="252"/>
      <c r="AG41" s="252"/>
      <c r="AH41" s="252"/>
      <c r="AI41" s="216"/>
      <c r="AJ41" s="216"/>
    </row>
    <row r="42" spans="2:36" ht="22.5" customHeight="1" x14ac:dyDescent="0.25">
      <c r="B42" s="1"/>
      <c r="C42" s="1"/>
      <c r="D42" s="1"/>
      <c r="E42" s="1"/>
      <c r="F42" s="192"/>
      <c r="G42" s="192"/>
      <c r="H42" s="192"/>
      <c r="I42" s="192"/>
      <c r="J42" s="1"/>
      <c r="K42" s="1"/>
      <c r="L42" s="1"/>
      <c r="M42" s="1"/>
      <c r="N42" s="192"/>
      <c r="O42" s="192"/>
      <c r="P42" s="192"/>
      <c r="Q42" s="1"/>
      <c r="R42" s="1"/>
      <c r="V42" s="122" t="str">
        <f>IFERROR(SMALL('اختيار المقررات'!$AL$8:$AL$57,'اختيار المقررات'!AM36),"")</f>
        <v/>
      </c>
    </row>
    <row r="43" spans="2:36" ht="22.5" customHeight="1" x14ac:dyDescent="0.25">
      <c r="B43" s="1"/>
      <c r="C43" s="193"/>
      <c r="D43" s="193"/>
      <c r="E43" s="193"/>
      <c r="F43" s="193"/>
      <c r="G43" s="193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V43" s="122" t="str">
        <f>IFERROR(SMALL('اختيار المقررات'!$AL$8:$AL$57,'اختيار المقررات'!AM37),"")</f>
        <v/>
      </c>
    </row>
    <row r="44" spans="2:36" ht="17.25" customHeight="1" x14ac:dyDescent="0.25">
      <c r="B44" s="1"/>
      <c r="C44" s="193"/>
      <c r="D44" s="193"/>
      <c r="E44" s="193"/>
      <c r="F44" s="193"/>
      <c r="G44" s="193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V44" s="122" t="str">
        <f>IFERROR(SMALL('اختيار المقررات'!$AL$8:$AL$57,'اختيار المقررات'!AM38),"")</f>
        <v/>
      </c>
    </row>
    <row r="45" spans="2:36" ht="17.25" customHeight="1" x14ac:dyDescent="0.25">
      <c r="B45" s="1"/>
      <c r="C45" s="193"/>
      <c r="D45" s="193"/>
      <c r="E45" s="193"/>
      <c r="F45" s="193"/>
      <c r="G45" s="193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V45" s="122" t="str">
        <f>IFERROR(SMALL('اختيار المقررات'!$AL$8:$AL$57,'اختيار المقررات'!AM39),"")</f>
        <v/>
      </c>
    </row>
    <row r="46" spans="2:36" ht="20.25" customHeight="1" x14ac:dyDescent="0.25">
      <c r="B46" s="111"/>
      <c r="C46" s="111"/>
      <c r="D46" s="111"/>
      <c r="E46" s="111"/>
      <c r="F46" s="111"/>
      <c r="I46" s="114"/>
      <c r="J46" s="114"/>
      <c r="K46" s="114"/>
      <c r="L46" s="114"/>
      <c r="P46" s="114"/>
      <c r="Q46" s="114"/>
      <c r="R46" s="114"/>
      <c r="V46" s="122" t="str">
        <f>IFERROR(SMALL('اختيار المقررات'!$AL$8:$AL$57,'اختيار المقررات'!AM40),"")</f>
        <v/>
      </c>
    </row>
    <row r="47" spans="2:36" ht="13.8" x14ac:dyDescent="0.25">
      <c r="B47" s="111"/>
      <c r="C47" s="111"/>
      <c r="D47" s="111"/>
      <c r="E47" s="111"/>
      <c r="F47" s="111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V47" s="122" t="str">
        <f>IFERROR(SMALL('اختيار المقررات'!$AL$8:$AL$57,'اختيار المقررات'!AM41),"")</f>
        <v/>
      </c>
    </row>
    <row r="48" spans="2:36" ht="13.8" x14ac:dyDescent="0.25">
      <c r="B48" s="111"/>
      <c r="C48" s="111"/>
      <c r="D48" s="111"/>
      <c r="E48" s="111"/>
      <c r="F48" s="111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V48" s="122" t="str">
        <f>IFERROR(SMALL('اختيار المقررات'!$AL$8:$AL$57,'اختيار المقررات'!AM42),"")</f>
        <v/>
      </c>
    </row>
    <row r="49" spans="22:22" x14ac:dyDescent="0.25">
      <c r="V49" s="122" t="str">
        <f>IFERROR(SMALL('اختيار المقررات'!$AL$8:$AL$57,'اختيار المقررات'!AM43),"")</f>
        <v/>
      </c>
    </row>
  </sheetData>
  <sheetProtection algorithmName="SHA-512" hashValue="gpnLf2Hfh3KGz1VD+vejiACCyoJe8euZRA5zxTl5Acl0FZMf0dk7cqkbiovPO0fZ5fZVQxg474XWytr9qTTHHg==" saltValue="BtILUewPPV7RG5SAevIYdQ==" spinCount="100000" sheet="1" selectLockedCells="1" selectUnlockedCells="1"/>
  <mergeCells count="133">
    <mergeCell ref="B32:R32"/>
    <mergeCell ref="B33:R33"/>
    <mergeCell ref="B37:R37"/>
    <mergeCell ref="B38:R38"/>
    <mergeCell ref="B39:E39"/>
    <mergeCell ref="F39:G39"/>
    <mergeCell ref="H39:R39"/>
    <mergeCell ref="B40:D40"/>
    <mergeCell ref="E40:F40"/>
    <mergeCell ref="G40:R40"/>
    <mergeCell ref="L11:Q11"/>
    <mergeCell ref="D11:I11"/>
    <mergeCell ref="B35:D35"/>
    <mergeCell ref="E35:F35"/>
    <mergeCell ref="G35:R35"/>
    <mergeCell ref="D36:H36"/>
    <mergeCell ref="B23:D23"/>
    <mergeCell ref="B24:D24"/>
    <mergeCell ref="B25:D25"/>
    <mergeCell ref="B26:D26"/>
    <mergeCell ref="B22:D22"/>
    <mergeCell ref="B31:R31"/>
    <mergeCell ref="B34:E34"/>
    <mergeCell ref="F34:G34"/>
    <mergeCell ref="H34:R34"/>
    <mergeCell ref="M36:P36"/>
    <mergeCell ref="M21:P21"/>
    <mergeCell ref="Q21:R21"/>
    <mergeCell ref="G28:L28"/>
    <mergeCell ref="G29:L29"/>
    <mergeCell ref="B27:L27"/>
    <mergeCell ref="D14:G14"/>
    <mergeCell ref="L14:O14"/>
    <mergeCell ref="D15:G15"/>
    <mergeCell ref="AE20:AG20"/>
    <mergeCell ref="AE21:AG21"/>
    <mergeCell ref="AE22:AG22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  <mergeCell ref="E22:I22"/>
    <mergeCell ref="E23:G23"/>
    <mergeCell ref="E25:G25"/>
    <mergeCell ref="E24:G24"/>
    <mergeCell ref="E26:G26"/>
    <mergeCell ref="N22:O22"/>
    <mergeCell ref="B30:F30"/>
    <mergeCell ref="K22:L22"/>
    <mergeCell ref="B28:F28"/>
    <mergeCell ref="B29:F29"/>
    <mergeCell ref="G21:J21"/>
    <mergeCell ref="K21:L21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D1:AH2"/>
    <mergeCell ref="AE3:AG3"/>
    <mergeCell ref="AE4:AG4"/>
    <mergeCell ref="AE5:AG5"/>
    <mergeCell ref="AE6:AG6"/>
    <mergeCell ref="AE7:AG7"/>
    <mergeCell ref="AE8:AG8"/>
    <mergeCell ref="AE9:AG9"/>
    <mergeCell ref="AE10:AG10"/>
    <mergeCell ref="F7:G7"/>
    <mergeCell ref="H7:I7"/>
    <mergeCell ref="K7:R7"/>
    <mergeCell ref="B6:C6"/>
    <mergeCell ref="D6:E6"/>
    <mergeCell ref="F6:G6"/>
    <mergeCell ref="H6:I6"/>
    <mergeCell ref="K6:M6"/>
    <mergeCell ref="P6:R6"/>
    <mergeCell ref="D7:E7"/>
    <mergeCell ref="N5:O5"/>
    <mergeCell ref="P5:R5"/>
    <mergeCell ref="D4:E4"/>
    <mergeCell ref="F4:G4"/>
    <mergeCell ref="H4:I4"/>
    <mergeCell ref="K4:M4"/>
    <mergeCell ref="N6:O6"/>
    <mergeCell ref="B1:E1"/>
    <mergeCell ref="B2:C2"/>
    <mergeCell ref="D2:E2"/>
    <mergeCell ref="F2:G2"/>
    <mergeCell ref="H2:J2"/>
    <mergeCell ref="M2:N2"/>
    <mergeCell ref="P2:R2"/>
    <mergeCell ref="F3:G3"/>
    <mergeCell ref="H3:I3"/>
    <mergeCell ref="K2:L2"/>
    <mergeCell ref="B3:C3"/>
    <mergeCell ref="D3:E3"/>
    <mergeCell ref="N3:P3"/>
    <mergeCell ref="Q3:R3"/>
    <mergeCell ref="F1:R1"/>
    <mergeCell ref="J3:L3"/>
    <mergeCell ref="L15:O15"/>
    <mergeCell ref="D16:G16"/>
    <mergeCell ref="L16:O16"/>
    <mergeCell ref="D17:G17"/>
    <mergeCell ref="D19:G19"/>
    <mergeCell ref="L19:O19"/>
    <mergeCell ref="B21:E21"/>
    <mergeCell ref="N4:P4"/>
    <mergeCell ref="Q4:R4"/>
    <mergeCell ref="L17:O17"/>
    <mergeCell ref="D18:G18"/>
    <mergeCell ref="L18:O18"/>
    <mergeCell ref="D12:G12"/>
    <mergeCell ref="L12:O12"/>
    <mergeCell ref="B4:C4"/>
    <mergeCell ref="B7:C7"/>
    <mergeCell ref="B8:R9"/>
    <mergeCell ref="D13:G13"/>
    <mergeCell ref="L13:O13"/>
    <mergeCell ref="B5:C5"/>
    <mergeCell ref="D5:E5"/>
    <mergeCell ref="F5:G5"/>
    <mergeCell ref="H5:I5"/>
    <mergeCell ref="K5:M5"/>
  </mergeCells>
  <conditionalFormatting sqref="B32:R33">
    <cfRule type="expression" dxfId="29" priority="1">
      <formula>$K$25="لا"</formula>
    </cfRule>
  </conditionalFormatting>
  <conditionalFormatting sqref="B36:R36">
    <cfRule type="expression" dxfId="28" priority="2">
      <formula>#REF!="لا"</formula>
    </cfRule>
  </conditionalFormatting>
  <conditionalFormatting sqref="B37:R38 B39:H39 B40:R40">
    <cfRule type="expression" dxfId="27" priority="3">
      <formula>$K$25="لا"</formula>
    </cfRule>
  </conditionalFormatting>
  <conditionalFormatting sqref="C11:D11 J11:L11 C12:Q19">
    <cfRule type="expression" dxfId="26" priority="24">
      <formula>$C$12=""</formula>
    </cfRule>
  </conditionalFormatting>
  <conditionalFormatting sqref="C13:I19">
    <cfRule type="expression" dxfId="25" priority="23">
      <formula>$C$13=""</formula>
    </cfRule>
  </conditionalFormatting>
  <conditionalFormatting sqref="C14:I19">
    <cfRule type="expression" dxfId="24" priority="22">
      <formula>$C$14=""</formula>
    </cfRule>
  </conditionalFormatting>
  <conditionalFormatting sqref="C15:I19">
    <cfRule type="expression" dxfId="23" priority="21">
      <formula>$C$15=""</formula>
    </cfRule>
  </conditionalFormatting>
  <conditionalFormatting sqref="C16:I19">
    <cfRule type="expression" dxfId="22" priority="20">
      <formula>$C$16=""</formula>
    </cfRule>
  </conditionalFormatting>
  <conditionalFormatting sqref="C17:I19">
    <cfRule type="expression" dxfId="21" priority="19">
      <formula>$C$17=""</formula>
    </cfRule>
  </conditionalFormatting>
  <conditionalFormatting sqref="C18:I19">
    <cfRule type="expression" dxfId="20" priority="18">
      <formula>$C$18=""</formula>
    </cfRule>
  </conditionalFormatting>
  <conditionalFormatting sqref="C19:I19">
    <cfRule type="expression" dxfId="19" priority="17">
      <formula>$C$19=""</formula>
    </cfRule>
  </conditionalFormatting>
  <conditionalFormatting sqref="C44:R45">
    <cfRule type="expression" dxfId="18" priority="4">
      <formula>$K$26="لا"</formula>
    </cfRule>
  </conditionalFormatting>
  <conditionalFormatting sqref="K11:L11 K12:Q19">
    <cfRule type="expression" dxfId="17" priority="16">
      <formula>$K$12=""</formula>
    </cfRule>
  </conditionalFormatting>
  <conditionalFormatting sqref="K13:Q19">
    <cfRule type="expression" dxfId="16" priority="15">
      <formula>$K$13=""</formula>
    </cfRule>
  </conditionalFormatting>
  <conditionalFormatting sqref="K14:Q19">
    <cfRule type="expression" dxfId="15" priority="14">
      <formula>$K$14=""</formula>
    </cfRule>
  </conditionalFormatting>
  <conditionalFormatting sqref="K15:Q19">
    <cfRule type="expression" dxfId="14" priority="13">
      <formula>$K$15=""</formula>
    </cfRule>
  </conditionalFormatting>
  <conditionalFormatting sqref="K16:Q19">
    <cfRule type="expression" dxfId="13" priority="12">
      <formula>$K$16=""</formula>
    </cfRule>
  </conditionalFormatting>
  <conditionalFormatting sqref="K17:Q19">
    <cfRule type="expression" dxfId="12" priority="11">
      <formula>$K$17=""</formula>
    </cfRule>
  </conditionalFormatting>
  <conditionalFormatting sqref="K18:Q19">
    <cfRule type="expression" dxfId="11" priority="10">
      <formula>$K$18=""</formula>
    </cfRule>
  </conditionalFormatting>
  <conditionalFormatting sqref="K19:Q19">
    <cfRule type="expression" dxfId="10" priority="9">
      <formula>$K$19=""</formula>
    </cfRule>
  </conditionalFormatting>
  <conditionalFormatting sqref="AC1">
    <cfRule type="expression" dxfId="9" priority="6">
      <formula>AC1&lt;&gt;""</formula>
    </cfRule>
  </conditionalFormatting>
  <conditionalFormatting sqref="AD1:AH2">
    <cfRule type="expression" dxfId="8" priority="5">
      <formula>$AD$1&lt;&gt;""</formula>
    </cfRule>
  </conditionalFormatting>
  <conditionalFormatting sqref="AE3:AE22">
    <cfRule type="expression" dxfId="7" priority="7">
      <formula>AE3&lt;&gt;""</formula>
    </cfRule>
  </conditionalFormatting>
  <printOptions horizontalCentered="1" verticalCentered="1"/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GF5"/>
  <sheetViews>
    <sheetView showGridLines="0" rightToLeft="1" zoomScale="98" zoomScaleNormal="98" workbookViewId="0">
      <pane ySplit="4" topLeftCell="A5" activePane="bottomLeft" state="frozen"/>
      <selection pane="bottomLeft" activeCell="N17" sqref="N17"/>
    </sheetView>
  </sheetViews>
  <sheetFormatPr defaultColWidth="9" defaultRowHeight="13.8" x14ac:dyDescent="0.25"/>
  <cols>
    <col min="1" max="1" width="13.8984375" style="1" customWidth="1"/>
    <col min="2" max="2" width="10.8984375" style="1" bestFit="1" customWidth="1"/>
    <col min="3" max="4" width="9" style="1"/>
    <col min="5" max="5" width="10.09765625" style="1" bestFit="1" customWidth="1"/>
    <col min="6" max="6" width="11.296875" style="77" bestFit="1" customWidth="1"/>
    <col min="7" max="7" width="11.296875" style="77" customWidth="1"/>
    <col min="8" max="8" width="13.296875" style="1" customWidth="1"/>
    <col min="9" max="9" width="9" style="1"/>
    <col min="10" max="10" width="11.796875" style="1" bestFit="1" customWidth="1"/>
    <col min="11" max="11" width="21.8984375" style="1" customWidth="1"/>
    <col min="12" max="12" width="24.296875" style="1" customWidth="1"/>
    <col min="13" max="13" width="17.796875" style="1" customWidth="1"/>
    <col min="14" max="14" width="20.09765625" style="1" customWidth="1"/>
    <col min="15" max="15" width="31.796875" style="1" customWidth="1"/>
    <col min="16" max="17" width="14.796875" style="1" customWidth="1"/>
    <col min="18" max="18" width="19.09765625" style="1" customWidth="1"/>
    <col min="19" max="19" width="14.09765625" style="1" customWidth="1"/>
    <col min="20" max="20" width="6.8984375" style="1" bestFit="1" customWidth="1"/>
    <col min="21" max="74" width="4.296875" style="1" customWidth="1"/>
    <col min="75" max="77" width="4.19921875" style="1" customWidth="1"/>
    <col min="78" max="163" width="4.296875" style="1" customWidth="1"/>
    <col min="164" max="182" width="9" style="1"/>
    <col min="183" max="183" width="14.09765625" style="1" bestFit="1" customWidth="1"/>
    <col min="184" max="187" width="9" style="1"/>
    <col min="188" max="188" width="9" style="1" customWidth="1"/>
    <col min="189" max="16384" width="9" style="1"/>
  </cols>
  <sheetData>
    <row r="1" spans="1:188" s="55" customFormat="1" ht="18" thickBot="1" x14ac:dyDescent="0.3">
      <c r="A1" s="544"/>
      <c r="B1" s="547">
        <v>9999</v>
      </c>
      <c r="C1" s="546" t="s">
        <v>33</v>
      </c>
      <c r="D1" s="546"/>
      <c r="E1" s="546"/>
      <c r="F1" s="546"/>
      <c r="G1" s="546"/>
      <c r="H1" s="546"/>
      <c r="I1" s="546"/>
      <c r="J1" s="546"/>
      <c r="K1" s="553" t="s">
        <v>16</v>
      </c>
      <c r="L1" s="555" t="s">
        <v>63</v>
      </c>
      <c r="M1" s="558" t="s">
        <v>61</v>
      </c>
      <c r="N1" s="558" t="s">
        <v>62</v>
      </c>
      <c r="O1" s="560" t="s">
        <v>54</v>
      </c>
      <c r="P1" s="546" t="s">
        <v>34</v>
      </c>
      <c r="Q1" s="546"/>
      <c r="R1" s="546"/>
      <c r="S1" s="551" t="s">
        <v>9</v>
      </c>
      <c r="T1" s="548" t="s">
        <v>35</v>
      </c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 t="s">
        <v>21</v>
      </c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548"/>
      <c r="BL1" s="548"/>
      <c r="BM1" s="548"/>
      <c r="BN1" s="548"/>
      <c r="BO1" s="548"/>
      <c r="BP1" s="548"/>
      <c r="BQ1" s="548"/>
      <c r="BR1" s="548"/>
      <c r="BS1" s="548"/>
      <c r="BT1" s="548"/>
      <c r="BU1" s="548"/>
      <c r="BV1" s="548"/>
      <c r="BW1" s="548"/>
      <c r="BX1" s="548"/>
      <c r="BY1" s="548"/>
      <c r="BZ1" s="548" t="s">
        <v>36</v>
      </c>
      <c r="CA1" s="548"/>
      <c r="CB1" s="548"/>
      <c r="CC1" s="548"/>
      <c r="CD1" s="548"/>
      <c r="CE1" s="548"/>
      <c r="CF1" s="548"/>
      <c r="CG1" s="548"/>
      <c r="CH1" s="548"/>
      <c r="CI1" s="548"/>
      <c r="CJ1" s="548"/>
      <c r="CK1" s="548"/>
      <c r="CL1" s="548"/>
      <c r="CM1" s="548"/>
      <c r="CN1" s="548"/>
      <c r="CO1" s="548"/>
      <c r="CP1" s="548"/>
      <c r="CQ1" s="548"/>
      <c r="CR1" s="548"/>
      <c r="CS1" s="548"/>
      <c r="CT1" s="548"/>
      <c r="CU1" s="548"/>
      <c r="CV1" s="548"/>
      <c r="CW1" s="548"/>
      <c r="CX1" s="548"/>
      <c r="CY1" s="548"/>
      <c r="CZ1" s="548" t="s">
        <v>37</v>
      </c>
      <c r="DA1" s="548"/>
      <c r="DB1" s="548"/>
      <c r="DC1" s="548"/>
      <c r="DD1" s="548"/>
      <c r="DE1" s="548"/>
      <c r="DF1" s="548"/>
      <c r="DG1" s="548"/>
      <c r="DH1" s="548"/>
      <c r="DI1" s="548"/>
      <c r="DJ1" s="548"/>
      <c r="DK1" s="548"/>
      <c r="DL1" s="548"/>
      <c r="DM1" s="548"/>
      <c r="DN1" s="548"/>
      <c r="DO1" s="548"/>
      <c r="DP1" s="548"/>
      <c r="DQ1" s="548"/>
      <c r="DR1" s="548"/>
      <c r="DS1" s="548"/>
      <c r="DT1" s="548"/>
      <c r="DU1" s="548"/>
      <c r="DV1" s="548"/>
      <c r="DW1" s="548"/>
      <c r="DX1" s="548"/>
      <c r="DY1" s="548"/>
      <c r="DZ1" s="548"/>
      <c r="EA1" s="548"/>
      <c r="EB1" s="548"/>
      <c r="EC1" s="548"/>
      <c r="ED1" s="548"/>
      <c r="EE1" s="548"/>
      <c r="EF1" s="548"/>
      <c r="EG1" s="548"/>
      <c r="EH1" s="548"/>
      <c r="EI1" s="548"/>
      <c r="EJ1" s="548"/>
      <c r="EK1" s="548"/>
      <c r="EL1" s="548"/>
      <c r="EM1" s="548"/>
      <c r="EN1" s="548"/>
      <c r="EO1" s="548"/>
      <c r="EP1" s="548"/>
      <c r="EQ1" s="548"/>
      <c r="ER1" s="548"/>
      <c r="ES1" s="548"/>
      <c r="ET1" s="548"/>
      <c r="EU1" s="548"/>
      <c r="EV1" s="548"/>
      <c r="EW1" s="548"/>
      <c r="EX1" s="548"/>
      <c r="EY1" s="548"/>
      <c r="EZ1" s="548"/>
      <c r="FA1" s="548"/>
      <c r="FB1" s="548"/>
      <c r="FC1" s="564"/>
      <c r="FD1" s="195"/>
      <c r="FE1" s="195"/>
      <c r="FF1" s="195"/>
      <c r="FG1" s="195"/>
      <c r="FH1" s="506" t="s">
        <v>1</v>
      </c>
      <c r="FI1" s="507"/>
      <c r="FJ1" s="508"/>
      <c r="FK1" s="512"/>
      <c r="FL1" s="514" t="s">
        <v>300</v>
      </c>
      <c r="FM1" s="515"/>
      <c r="FN1" s="515"/>
      <c r="FO1" s="515"/>
      <c r="FP1" s="515"/>
      <c r="FQ1" s="515"/>
      <c r="FR1" s="515"/>
      <c r="FS1" s="515"/>
      <c r="FT1" s="567" t="s">
        <v>38</v>
      </c>
      <c r="FU1" s="568"/>
      <c r="FV1" s="568"/>
      <c r="FW1" s="569"/>
      <c r="FX1" s="567" t="s">
        <v>301</v>
      </c>
      <c r="FY1" s="568"/>
      <c r="FZ1" s="568"/>
      <c r="GA1" s="569"/>
      <c r="GB1"/>
    </row>
    <row r="2" spans="1:188" s="55" customFormat="1" ht="18" thickBot="1" x14ac:dyDescent="0.3">
      <c r="A2" s="544"/>
      <c r="B2" s="547"/>
      <c r="C2" s="546"/>
      <c r="D2" s="546"/>
      <c r="E2" s="546"/>
      <c r="F2" s="546"/>
      <c r="G2" s="546"/>
      <c r="H2" s="546"/>
      <c r="I2" s="546"/>
      <c r="J2" s="546"/>
      <c r="K2" s="554"/>
      <c r="L2" s="556"/>
      <c r="M2" s="559"/>
      <c r="N2" s="559"/>
      <c r="O2" s="561"/>
      <c r="P2" s="546"/>
      <c r="Q2" s="546"/>
      <c r="R2" s="546"/>
      <c r="S2" s="551"/>
      <c r="T2" s="542" t="s">
        <v>17</v>
      </c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2"/>
      <c r="AF2" s="542"/>
      <c r="AG2" s="542"/>
      <c r="AH2" s="100"/>
      <c r="AI2" s="100"/>
      <c r="AJ2" s="100"/>
      <c r="AK2" s="100"/>
      <c r="AL2" s="100"/>
      <c r="AM2" s="100"/>
      <c r="AN2" s="100"/>
      <c r="AO2" s="100"/>
      <c r="AP2" s="57"/>
      <c r="AQ2" s="57"/>
      <c r="AR2" s="542" t="s">
        <v>17</v>
      </c>
      <c r="AS2" s="542"/>
      <c r="AT2" s="542"/>
      <c r="AU2" s="542"/>
      <c r="AV2" s="542"/>
      <c r="AW2" s="542"/>
      <c r="AX2" s="542"/>
      <c r="AY2" s="542"/>
      <c r="AZ2" s="542"/>
      <c r="BA2" s="542"/>
      <c r="BB2" s="542"/>
      <c r="BC2" s="542"/>
      <c r="BD2" s="542"/>
      <c r="BE2" s="542"/>
      <c r="BF2" s="542"/>
      <c r="BG2" s="542"/>
      <c r="BH2" s="542"/>
      <c r="BI2" s="542"/>
      <c r="BJ2" s="542"/>
      <c r="BK2" s="542"/>
      <c r="BL2" s="56"/>
      <c r="BM2" s="56"/>
      <c r="BN2" s="545" t="s">
        <v>18</v>
      </c>
      <c r="BO2" s="545"/>
      <c r="BP2" s="545"/>
      <c r="BQ2" s="545"/>
      <c r="BR2" s="545"/>
      <c r="BS2" s="545"/>
      <c r="BT2" s="545"/>
      <c r="BU2" s="545"/>
      <c r="BV2" s="545"/>
      <c r="BW2" s="545"/>
      <c r="BX2" s="57"/>
      <c r="BY2" s="57"/>
      <c r="BZ2" s="542" t="s">
        <v>17</v>
      </c>
      <c r="CA2" s="542"/>
      <c r="CB2" s="542"/>
      <c r="CC2" s="542"/>
      <c r="CD2" s="542"/>
      <c r="CE2" s="542"/>
      <c r="CF2" s="542"/>
      <c r="CG2" s="542"/>
      <c r="CH2" s="542"/>
      <c r="CI2" s="542"/>
      <c r="CJ2" s="56"/>
      <c r="CK2" s="56"/>
      <c r="CL2" s="56"/>
      <c r="CM2" s="56"/>
      <c r="CN2" s="545" t="s">
        <v>18</v>
      </c>
      <c r="CO2" s="545"/>
      <c r="CP2" s="545"/>
      <c r="CQ2" s="545"/>
      <c r="CR2" s="545"/>
      <c r="CS2" s="545"/>
      <c r="CT2" s="545"/>
      <c r="CU2" s="545"/>
      <c r="CV2" s="545"/>
      <c r="CW2" s="545"/>
      <c r="CX2" s="57"/>
      <c r="CY2" s="57"/>
      <c r="CZ2" s="542" t="s">
        <v>17</v>
      </c>
      <c r="DA2" s="542"/>
      <c r="DB2" s="542"/>
      <c r="DC2" s="542"/>
      <c r="DD2" s="542"/>
      <c r="DE2" s="542"/>
      <c r="DF2" s="542"/>
      <c r="DG2" s="542"/>
      <c r="DH2" s="542"/>
      <c r="DI2" s="542"/>
      <c r="DJ2" s="56"/>
      <c r="DK2" s="56"/>
      <c r="DL2" s="545" t="s">
        <v>18</v>
      </c>
      <c r="DM2" s="545"/>
      <c r="DN2" s="545"/>
      <c r="DO2" s="545"/>
      <c r="DP2" s="545"/>
      <c r="DQ2" s="545"/>
      <c r="DR2" s="545"/>
      <c r="DS2" s="545"/>
      <c r="DT2" s="545"/>
      <c r="DU2" s="545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09"/>
      <c r="FI2" s="510"/>
      <c r="FJ2" s="511"/>
      <c r="FK2" s="513"/>
      <c r="FL2" s="516"/>
      <c r="FM2" s="517"/>
      <c r="FN2" s="517"/>
      <c r="FO2" s="517"/>
      <c r="FP2" s="517"/>
      <c r="FQ2" s="517"/>
      <c r="FR2" s="517"/>
      <c r="FS2" s="517"/>
      <c r="FT2" s="509"/>
      <c r="FU2" s="510"/>
      <c r="FV2" s="510"/>
      <c r="FW2" s="511"/>
      <c r="FX2" s="509"/>
      <c r="FY2" s="510"/>
      <c r="FZ2" s="510"/>
      <c r="GA2" s="511"/>
      <c r="GB2"/>
    </row>
    <row r="3" spans="1:188" ht="80.25" customHeight="1" thickBot="1" x14ac:dyDescent="0.3">
      <c r="A3" s="58" t="s">
        <v>2</v>
      </c>
      <c r="B3" s="59" t="s">
        <v>39</v>
      </c>
      <c r="C3" s="59" t="s">
        <v>40</v>
      </c>
      <c r="D3" s="59" t="s">
        <v>41</v>
      </c>
      <c r="E3" s="59" t="s">
        <v>6</v>
      </c>
      <c r="F3" s="60" t="s">
        <v>7</v>
      </c>
      <c r="G3" s="60" t="s">
        <v>81</v>
      </c>
      <c r="H3" s="59" t="s">
        <v>52</v>
      </c>
      <c r="I3" s="59" t="s">
        <v>11</v>
      </c>
      <c r="J3" s="59" t="s">
        <v>10</v>
      </c>
      <c r="K3" s="554"/>
      <c r="L3" s="556"/>
      <c r="M3" s="559"/>
      <c r="N3" s="559"/>
      <c r="O3" s="561"/>
      <c r="P3" s="549" t="s">
        <v>27</v>
      </c>
      <c r="Q3" s="549" t="s">
        <v>42</v>
      </c>
      <c r="R3" s="562" t="s">
        <v>14</v>
      </c>
      <c r="S3" s="551"/>
      <c r="T3" s="518" t="s">
        <v>110</v>
      </c>
      <c r="U3" s="503"/>
      <c r="V3" s="502" t="s">
        <v>111</v>
      </c>
      <c r="W3" s="503"/>
      <c r="X3" s="502" t="s">
        <v>112</v>
      </c>
      <c r="Y3" s="503"/>
      <c r="Z3" s="502" t="s">
        <v>113</v>
      </c>
      <c r="AA3" s="503"/>
      <c r="AB3" s="502" t="s">
        <v>114</v>
      </c>
      <c r="AC3" s="503"/>
      <c r="AD3" s="502" t="s">
        <v>115</v>
      </c>
      <c r="AE3" s="503"/>
      <c r="AF3" s="502" t="s">
        <v>179</v>
      </c>
      <c r="AG3" s="519"/>
      <c r="AH3" s="520" t="s">
        <v>116</v>
      </c>
      <c r="AI3" s="503"/>
      <c r="AJ3" s="502" t="s">
        <v>117</v>
      </c>
      <c r="AK3" s="503"/>
      <c r="AL3" s="502" t="s">
        <v>118</v>
      </c>
      <c r="AM3" s="503"/>
      <c r="AN3" s="502" t="s">
        <v>119</v>
      </c>
      <c r="AO3" s="503"/>
      <c r="AP3" s="502" t="s">
        <v>120</v>
      </c>
      <c r="AQ3" s="503"/>
      <c r="AR3" s="502" t="s">
        <v>157</v>
      </c>
      <c r="AS3" s="503"/>
      <c r="AT3" s="502" t="s">
        <v>155</v>
      </c>
      <c r="AU3" s="503"/>
      <c r="AV3" s="502" t="s">
        <v>158</v>
      </c>
      <c r="AW3" s="503"/>
      <c r="AX3" s="502" t="s">
        <v>159</v>
      </c>
      <c r="AY3" s="503"/>
      <c r="AZ3" s="502" t="s">
        <v>156</v>
      </c>
      <c r="BA3" s="503"/>
      <c r="BB3" s="502" t="s">
        <v>154</v>
      </c>
      <c r="BC3" s="520"/>
      <c r="BD3" s="521" t="s">
        <v>121</v>
      </c>
      <c r="BE3" s="503"/>
      <c r="BF3" s="502" t="s">
        <v>122</v>
      </c>
      <c r="BG3" s="503"/>
      <c r="BH3" s="502" t="s">
        <v>123</v>
      </c>
      <c r="BI3" s="503"/>
      <c r="BJ3" s="502" t="s">
        <v>124</v>
      </c>
      <c r="BK3" s="503"/>
      <c r="BL3" s="502" t="s">
        <v>125</v>
      </c>
      <c r="BM3" s="503"/>
      <c r="BN3" s="502" t="s">
        <v>126</v>
      </c>
      <c r="BO3" s="503"/>
      <c r="BP3" s="502" t="s">
        <v>180</v>
      </c>
      <c r="BQ3" s="520"/>
      <c r="BR3" s="543" t="s">
        <v>127</v>
      </c>
      <c r="BS3" s="503"/>
      <c r="BT3" s="502" t="s">
        <v>149</v>
      </c>
      <c r="BU3" s="503"/>
      <c r="BV3" s="502" t="s">
        <v>128</v>
      </c>
      <c r="BW3" s="503"/>
      <c r="BX3" s="502" t="s">
        <v>129</v>
      </c>
      <c r="BY3" s="503"/>
      <c r="BZ3" s="502" t="s">
        <v>120</v>
      </c>
      <c r="CA3" s="503"/>
      <c r="CB3" s="502" t="s">
        <v>163</v>
      </c>
      <c r="CC3" s="503"/>
      <c r="CD3" s="502" t="s">
        <v>304</v>
      </c>
      <c r="CE3" s="503"/>
      <c r="CF3" s="502" t="s">
        <v>162</v>
      </c>
      <c r="CG3" s="503"/>
      <c r="CH3" s="502" t="s">
        <v>164</v>
      </c>
      <c r="CI3" s="503"/>
      <c r="CJ3" s="502" t="s">
        <v>305</v>
      </c>
      <c r="CK3" s="503"/>
      <c r="CL3" s="502" t="s">
        <v>306</v>
      </c>
      <c r="CM3" s="504"/>
      <c r="CN3" s="500" t="s">
        <v>130</v>
      </c>
      <c r="CO3" s="498"/>
      <c r="CP3" s="498" t="s">
        <v>131</v>
      </c>
      <c r="CQ3" s="498"/>
      <c r="CR3" s="498" t="s">
        <v>132</v>
      </c>
      <c r="CS3" s="498"/>
      <c r="CT3" s="498" t="s">
        <v>133</v>
      </c>
      <c r="CU3" s="498"/>
      <c r="CV3" s="498" t="s">
        <v>134</v>
      </c>
      <c r="CW3" s="498"/>
      <c r="CX3" s="498" t="s">
        <v>135</v>
      </c>
      <c r="CY3" s="505"/>
      <c r="CZ3" s="501" t="s">
        <v>136</v>
      </c>
      <c r="DA3" s="498"/>
      <c r="DB3" s="498" t="s">
        <v>137</v>
      </c>
      <c r="DC3" s="498"/>
      <c r="DD3" s="498" t="s">
        <v>138</v>
      </c>
      <c r="DE3" s="498"/>
      <c r="DF3" s="498" t="s">
        <v>139</v>
      </c>
      <c r="DG3" s="498"/>
      <c r="DH3" s="498" t="s">
        <v>120</v>
      </c>
      <c r="DI3" s="498"/>
      <c r="DJ3" s="498" t="s">
        <v>167</v>
      </c>
      <c r="DK3" s="498"/>
      <c r="DL3" s="498" t="s">
        <v>168</v>
      </c>
      <c r="DM3" s="498"/>
      <c r="DN3" s="498" t="s">
        <v>165</v>
      </c>
      <c r="DO3" s="498"/>
      <c r="DP3" s="498" t="s">
        <v>171</v>
      </c>
      <c r="DQ3" s="499"/>
      <c r="DR3" s="498" t="s">
        <v>170</v>
      </c>
      <c r="DS3" s="498"/>
      <c r="DT3" s="498" t="s">
        <v>172</v>
      </c>
      <c r="DU3" s="498"/>
      <c r="DV3" s="498" t="s">
        <v>166</v>
      </c>
      <c r="DW3" s="498"/>
      <c r="DX3" s="498" t="s">
        <v>169</v>
      </c>
      <c r="DY3" s="498"/>
      <c r="DZ3" s="500" t="s">
        <v>140</v>
      </c>
      <c r="EA3" s="498"/>
      <c r="EB3" s="498" t="s">
        <v>141</v>
      </c>
      <c r="EC3" s="498"/>
      <c r="ED3" s="498" t="s">
        <v>142</v>
      </c>
      <c r="EE3" s="498"/>
      <c r="EF3" s="498" t="s">
        <v>143</v>
      </c>
      <c r="EG3" s="498"/>
      <c r="EH3" s="498" t="s">
        <v>144</v>
      </c>
      <c r="EI3" s="498"/>
      <c r="EJ3" s="498" t="s">
        <v>145</v>
      </c>
      <c r="EK3" s="498"/>
      <c r="EL3" s="498" t="s">
        <v>146</v>
      </c>
      <c r="EM3" s="498"/>
      <c r="EN3" s="498" t="s">
        <v>150</v>
      </c>
      <c r="EO3" s="498"/>
      <c r="EP3" s="498" t="s">
        <v>147</v>
      </c>
      <c r="EQ3" s="498"/>
      <c r="ER3" s="498" t="s">
        <v>148</v>
      </c>
      <c r="ES3" s="498"/>
      <c r="ET3" s="498" t="s">
        <v>120</v>
      </c>
      <c r="EU3" s="498"/>
      <c r="EV3" s="498" t="s">
        <v>174</v>
      </c>
      <c r="EW3" s="498"/>
      <c r="EX3" s="498" t="s">
        <v>173</v>
      </c>
      <c r="EY3" s="499" t="s">
        <v>173</v>
      </c>
      <c r="EZ3" s="498" t="s">
        <v>177</v>
      </c>
      <c r="FA3" s="498"/>
      <c r="FB3" s="498" t="s">
        <v>178</v>
      </c>
      <c r="FC3" s="498"/>
      <c r="FD3" s="498" t="s">
        <v>175</v>
      </c>
      <c r="FE3" s="498"/>
      <c r="FF3" s="498" t="s">
        <v>176</v>
      </c>
      <c r="FG3" s="498"/>
      <c r="FH3" s="575" t="s">
        <v>43</v>
      </c>
      <c r="FI3" s="577" t="s">
        <v>0</v>
      </c>
      <c r="FJ3" s="522" t="s">
        <v>44</v>
      </c>
      <c r="FK3" s="539" t="s">
        <v>67</v>
      </c>
      <c r="FL3" s="541" t="s">
        <v>302</v>
      </c>
      <c r="FM3" s="535" t="s">
        <v>303</v>
      </c>
      <c r="FN3" s="524" t="s">
        <v>25</v>
      </c>
      <c r="FO3" s="524" t="s">
        <v>215</v>
      </c>
      <c r="FP3" s="524" t="s">
        <v>23</v>
      </c>
      <c r="FQ3" s="524" t="s">
        <v>46</v>
      </c>
      <c r="FR3" s="536" t="s">
        <v>24</v>
      </c>
      <c r="FS3" s="536" t="s">
        <v>26</v>
      </c>
      <c r="FT3" s="537" t="s">
        <v>47</v>
      </c>
      <c r="FU3" s="525" t="s">
        <v>75</v>
      </c>
      <c r="FV3" s="525" t="s">
        <v>76</v>
      </c>
      <c r="FW3" s="527" t="s">
        <v>48</v>
      </c>
      <c r="FX3" s="529" t="s">
        <v>80</v>
      </c>
      <c r="FY3" s="531" t="s">
        <v>79</v>
      </c>
      <c r="FZ3" s="531" t="s">
        <v>78</v>
      </c>
      <c r="GA3" s="533" t="s">
        <v>77</v>
      </c>
      <c r="GB3" s="570" t="s">
        <v>317</v>
      </c>
      <c r="GC3" s="571"/>
      <c r="GD3" s="571"/>
      <c r="GE3" s="571"/>
      <c r="GF3" s="571"/>
    </row>
    <row r="4" spans="1:188" s="64" customFormat="1" ht="24.9" customHeight="1" thickBot="1" x14ac:dyDescent="0.3">
      <c r="A4" s="61" t="s">
        <v>2</v>
      </c>
      <c r="B4" s="62" t="s">
        <v>39</v>
      </c>
      <c r="C4" s="62" t="s">
        <v>40</v>
      </c>
      <c r="D4" s="62" t="s">
        <v>41</v>
      </c>
      <c r="E4" s="62" t="s">
        <v>6</v>
      </c>
      <c r="F4" s="63" t="s">
        <v>7</v>
      </c>
      <c r="G4" s="63"/>
      <c r="H4" s="62"/>
      <c r="I4" s="62" t="s">
        <v>11</v>
      </c>
      <c r="J4" s="62" t="s">
        <v>10</v>
      </c>
      <c r="K4" s="554"/>
      <c r="L4" s="557"/>
      <c r="M4" s="559"/>
      <c r="N4" s="559"/>
      <c r="O4" s="561"/>
      <c r="P4" s="550"/>
      <c r="Q4" s="550"/>
      <c r="R4" s="563"/>
      <c r="S4" s="552"/>
      <c r="T4" s="518">
        <v>41</v>
      </c>
      <c r="U4" s="503"/>
      <c r="V4" s="502">
        <v>42</v>
      </c>
      <c r="W4" s="503"/>
      <c r="X4" s="502">
        <v>43</v>
      </c>
      <c r="Y4" s="503"/>
      <c r="Z4" s="502">
        <v>44</v>
      </c>
      <c r="AA4" s="503"/>
      <c r="AB4" s="502">
        <v>45</v>
      </c>
      <c r="AC4" s="503"/>
      <c r="AD4" s="502">
        <v>46</v>
      </c>
      <c r="AE4" s="503"/>
      <c r="AF4" s="502">
        <v>101</v>
      </c>
      <c r="AG4" s="519"/>
      <c r="AH4" s="520">
        <v>47</v>
      </c>
      <c r="AI4" s="503"/>
      <c r="AJ4" s="502">
        <v>48</v>
      </c>
      <c r="AK4" s="503"/>
      <c r="AL4" s="502">
        <v>49</v>
      </c>
      <c r="AM4" s="503"/>
      <c r="AN4" s="502">
        <v>50</v>
      </c>
      <c r="AO4" s="503"/>
      <c r="AP4" s="502">
        <v>51</v>
      </c>
      <c r="AQ4" s="503"/>
      <c r="AR4" s="502">
        <v>141</v>
      </c>
      <c r="AS4" s="503"/>
      <c r="AT4" s="502">
        <v>143</v>
      </c>
      <c r="AU4" s="503"/>
      <c r="AV4" s="502">
        <v>144</v>
      </c>
      <c r="AW4" s="503"/>
      <c r="AX4" s="502">
        <v>146</v>
      </c>
      <c r="AY4" s="503"/>
      <c r="AZ4" s="502">
        <v>147</v>
      </c>
      <c r="BA4" s="503"/>
      <c r="BB4" s="502">
        <v>148</v>
      </c>
      <c r="BC4" s="520"/>
      <c r="BD4" s="521">
        <v>52</v>
      </c>
      <c r="BE4" s="503"/>
      <c r="BF4" s="502">
        <v>53</v>
      </c>
      <c r="BG4" s="503"/>
      <c r="BH4" s="502">
        <v>54</v>
      </c>
      <c r="BI4" s="503"/>
      <c r="BJ4" s="502">
        <v>55</v>
      </c>
      <c r="BK4" s="503"/>
      <c r="BL4" s="502">
        <v>56</v>
      </c>
      <c r="BM4" s="503"/>
      <c r="BN4" s="502">
        <v>57</v>
      </c>
      <c r="BO4" s="503"/>
      <c r="BP4" s="502">
        <v>201</v>
      </c>
      <c r="BQ4" s="520"/>
      <c r="BR4" s="543">
        <v>58</v>
      </c>
      <c r="BS4" s="503"/>
      <c r="BT4" s="502">
        <v>59</v>
      </c>
      <c r="BU4" s="503"/>
      <c r="BV4" s="502">
        <v>60</v>
      </c>
      <c r="BW4" s="503"/>
      <c r="BX4" s="502">
        <v>61</v>
      </c>
      <c r="BY4" s="503"/>
      <c r="BZ4" s="502">
        <v>62</v>
      </c>
      <c r="CA4" s="503"/>
      <c r="CB4" s="502">
        <v>149</v>
      </c>
      <c r="CC4" s="503"/>
      <c r="CD4" s="502">
        <v>151</v>
      </c>
      <c r="CE4" s="503"/>
      <c r="CF4" s="502">
        <v>152</v>
      </c>
      <c r="CG4" s="503"/>
      <c r="CH4" s="502">
        <v>153</v>
      </c>
      <c r="CI4" s="503"/>
      <c r="CJ4" s="565">
        <v>154</v>
      </c>
      <c r="CK4" s="566"/>
      <c r="CL4" s="502">
        <v>155</v>
      </c>
      <c r="CM4" s="504"/>
      <c r="CN4" s="500">
        <v>63</v>
      </c>
      <c r="CO4" s="498"/>
      <c r="CP4" s="498">
        <v>64</v>
      </c>
      <c r="CQ4" s="498"/>
      <c r="CR4" s="498">
        <v>65</v>
      </c>
      <c r="CS4" s="498"/>
      <c r="CT4" s="498">
        <v>66</v>
      </c>
      <c r="CU4" s="498"/>
      <c r="CV4" s="498">
        <v>67</v>
      </c>
      <c r="CW4" s="498"/>
      <c r="CX4" s="498">
        <v>68</v>
      </c>
      <c r="CY4" s="505"/>
      <c r="CZ4" s="501">
        <v>69</v>
      </c>
      <c r="DA4" s="498"/>
      <c r="DB4" s="498">
        <v>70</v>
      </c>
      <c r="DC4" s="498"/>
      <c r="DD4" s="498">
        <v>71</v>
      </c>
      <c r="DE4" s="498"/>
      <c r="DF4" s="498">
        <v>72</v>
      </c>
      <c r="DG4" s="498"/>
      <c r="DH4" s="498">
        <v>73</v>
      </c>
      <c r="DI4" s="498"/>
      <c r="DJ4" s="498">
        <v>157</v>
      </c>
      <c r="DK4" s="498"/>
      <c r="DL4" s="498">
        <v>158</v>
      </c>
      <c r="DM4" s="498"/>
      <c r="DN4" s="498">
        <v>159</v>
      </c>
      <c r="DO4" s="498"/>
      <c r="DP4" s="498">
        <v>160</v>
      </c>
      <c r="DQ4" s="499"/>
      <c r="DR4" s="498">
        <v>162</v>
      </c>
      <c r="DS4" s="498"/>
      <c r="DT4" s="498">
        <v>164</v>
      </c>
      <c r="DU4" s="498"/>
      <c r="DV4" s="498">
        <v>165</v>
      </c>
      <c r="DW4" s="498"/>
      <c r="DX4" s="498">
        <v>166</v>
      </c>
      <c r="DY4" s="498"/>
      <c r="DZ4" s="500">
        <v>74</v>
      </c>
      <c r="EA4" s="498"/>
      <c r="EB4" s="498">
        <v>75</v>
      </c>
      <c r="EC4" s="498"/>
      <c r="ED4" s="498">
        <v>76</v>
      </c>
      <c r="EE4" s="498"/>
      <c r="EF4" s="498">
        <v>77</v>
      </c>
      <c r="EG4" s="498"/>
      <c r="EH4" s="498">
        <v>78</v>
      </c>
      <c r="EI4" s="498"/>
      <c r="EJ4" s="498">
        <v>79</v>
      </c>
      <c r="EK4" s="498"/>
      <c r="EL4" s="498">
        <v>80</v>
      </c>
      <c r="EM4" s="498"/>
      <c r="EN4" s="498">
        <v>81</v>
      </c>
      <c r="EO4" s="498"/>
      <c r="EP4" s="498">
        <v>82</v>
      </c>
      <c r="EQ4" s="498"/>
      <c r="ER4" s="498">
        <v>83</v>
      </c>
      <c r="ES4" s="498"/>
      <c r="ET4" s="498">
        <v>84</v>
      </c>
      <c r="EU4" s="498"/>
      <c r="EV4" s="574">
        <v>169</v>
      </c>
      <c r="EW4" s="574"/>
      <c r="EX4" s="498">
        <v>170</v>
      </c>
      <c r="EY4" s="499"/>
      <c r="EZ4" s="572">
        <v>174</v>
      </c>
      <c r="FA4" s="573"/>
      <c r="FB4" s="498">
        <v>175</v>
      </c>
      <c r="FC4" s="498"/>
      <c r="FD4" s="498">
        <v>178</v>
      </c>
      <c r="FE4" s="498"/>
      <c r="FF4" s="498">
        <v>178</v>
      </c>
      <c r="FG4" s="498"/>
      <c r="FH4" s="576"/>
      <c r="FI4" s="578"/>
      <c r="FJ4" s="523"/>
      <c r="FK4" s="540"/>
      <c r="FL4" s="541"/>
      <c r="FM4" s="535"/>
      <c r="FN4" s="524"/>
      <c r="FO4" s="524"/>
      <c r="FP4" s="524"/>
      <c r="FQ4" s="524"/>
      <c r="FR4" s="536"/>
      <c r="FS4" s="536"/>
      <c r="FT4" s="538"/>
      <c r="FU4" s="526"/>
      <c r="FV4" s="526"/>
      <c r="FW4" s="528"/>
      <c r="FX4" s="530"/>
      <c r="FY4" s="532"/>
      <c r="FZ4" s="532"/>
      <c r="GA4" s="534"/>
      <c r="GB4" s="570"/>
      <c r="GC4" s="571"/>
      <c r="GD4" s="571"/>
      <c r="GE4" s="571"/>
      <c r="GF4" s="571"/>
    </row>
    <row r="5" spans="1:188" s="31" customFormat="1" ht="24.9" customHeight="1" x14ac:dyDescent="0.65">
      <c r="A5" s="65">
        <f>'اختيار المقررات'!E1</f>
        <v>0</v>
      </c>
      <c r="B5" s="66" t="str">
        <f>'اختيار المقررات'!L1</f>
        <v/>
      </c>
      <c r="C5" s="66" t="str">
        <f>'اختيار المقررات'!Q1</f>
        <v/>
      </c>
      <c r="D5" s="66" t="str">
        <f>'اختيار المقررات'!W1</f>
        <v/>
      </c>
      <c r="E5" s="66" t="str">
        <f>'اختيار المقررات'!AE1</f>
        <v/>
      </c>
      <c r="F5" s="67" t="str">
        <f>'اختيار المقررات'!AB1</f>
        <v/>
      </c>
      <c r="G5" s="67" t="str">
        <f>'اختيار المقررات'!AB3</f>
        <v>غير سوري</v>
      </c>
      <c r="H5" s="66">
        <f>'اختيار المقررات'!Q3</f>
        <v>0</v>
      </c>
      <c r="I5" s="66" t="str">
        <f>'اختيار المقررات'!E3</f>
        <v/>
      </c>
      <c r="J5" s="68" t="str">
        <f>'اختيار المقررات'!L3</f>
        <v/>
      </c>
      <c r="K5" s="69" t="str">
        <f>'اختيار المقررات'!Q4</f>
        <v/>
      </c>
      <c r="L5" s="70" t="str">
        <f>'اختيار المقررات'!AE3</f>
        <v>لايوجد</v>
      </c>
      <c r="M5" s="80">
        <f>'اختيار المقررات'!W4</f>
        <v>0</v>
      </c>
      <c r="N5" s="80">
        <f>'اختيار المقررات'!AB4</f>
        <v>0</v>
      </c>
      <c r="O5" s="231">
        <f>'اختيار المقررات'!AE4</f>
        <v>0</v>
      </c>
      <c r="P5" s="71" t="str">
        <f>'اختيار المقررات'!E4</f>
        <v/>
      </c>
      <c r="Q5" s="72" t="str">
        <f>'اختيار المقررات'!Q4</f>
        <v/>
      </c>
      <c r="R5" s="73" t="str">
        <f>'اختيار المقررات'!Q4</f>
        <v/>
      </c>
      <c r="S5" s="74" t="e">
        <f>'اختيار المقررات'!E2</f>
        <v>#N/A</v>
      </c>
      <c r="T5" s="75" t="str">
        <f>IFERROR(IF(OR(T4=الإستمارة!$C$12,T4=الإستمارة!$C$13,T4=الإستمارة!$C$14,T4=الإستمارة!$C$15,T4=الإستمارة!$C$16,T4=الإستمارة!$C$17,T4=الإستمارة!$C$18,T4=الإستمارة!$C$19),VLOOKUP(T4,الإستمارة!$C$12:$H$19,6,0),VLOOKUP(T4,الإستمارة!$L$12:$P$19,6,0)),"")</f>
        <v/>
      </c>
      <c r="U5" s="76" t="e">
        <f>VLOOKUP(T4,'اختيار المقررات'!$AV$5:$AY$54,4,0)</f>
        <v>#N/A</v>
      </c>
      <c r="V5" s="75" t="str">
        <f>IFERROR(IF(OR(V4=الإستمارة!$C$12,V4=الإستمارة!$C$13,V4=الإستمارة!$C$14,V4=الإستمارة!$C$15,V4=الإستمارة!$C$16,V4=الإستمارة!$C$17,V4=الإستمارة!$C$18,V4=الإستمارة!$C$19),VLOOKUP(V4,الإستمارة!$C$12:$H$19,6,0),VLOOKUP(V4,الإستمارة!$L$12:$P$19,6,0)),"")</f>
        <v/>
      </c>
      <c r="W5" s="76" t="e">
        <f>VLOOKUP(V4,'اختيار المقررات'!$AV$5:$AY$54,4,0)</f>
        <v>#N/A</v>
      </c>
      <c r="X5" s="75" t="str">
        <f>IFERROR(IF(OR(X4=الإستمارة!$C$12,X4=الإستمارة!$C$13,X4=الإستمارة!$C$14,X4=الإستمارة!$C$15,X4=الإستمارة!$C$16,X4=الإستمارة!$C$17,X4=الإستمارة!$C$18,X4=الإستمارة!$C$19),VLOOKUP(X4,الإستمارة!$C$12:$H$19,6,0),VLOOKUP(X4,الإستمارة!$L$12:$P$19,6,0)),"")</f>
        <v/>
      </c>
      <c r="Y5" s="76" t="e">
        <f>VLOOKUP(X4,'اختيار المقررات'!$AV$5:$AY$54,4,0)</f>
        <v>#N/A</v>
      </c>
      <c r="Z5" s="75" t="str">
        <f>IFERROR(IF(OR(Z4=الإستمارة!$C$12,Z4=الإستمارة!$C$13,Z4=الإستمارة!$C$14,Z4=الإستمارة!$C$15,Z4=الإستمارة!$C$16,Z4=الإستمارة!$C$17,Z4=الإستمارة!$C$18,Z4=الإستمارة!$C$19),VLOOKUP(Z4,الإستمارة!$C$12:$H$19,6,0),VLOOKUP(Z4,الإستمارة!$L$12:$P$19,6,0)),"")</f>
        <v/>
      </c>
      <c r="AA5" s="76" t="e">
        <f>VLOOKUP(Z4,'اختيار المقررات'!$AV$5:$AY$54,4,0)</f>
        <v>#N/A</v>
      </c>
      <c r="AB5" s="75" t="str">
        <f>IFERROR(IF(OR(AB4=الإستمارة!$C$12,AB4=الإستمارة!$C$13,AB4=الإستمارة!$C$14,AB4=الإستمارة!$C$15,AB4=الإستمارة!$C$16,AB4=الإستمارة!$C$17,AB4=الإستمارة!$C$18,AB4=الإستمارة!$C$19),VLOOKUP(AB4,الإستمارة!$C$12:$H$19,6,0),VLOOKUP(AB4,الإستمارة!$L$12:$P$19,6,0)),"")</f>
        <v/>
      </c>
      <c r="AC5" s="76" t="e">
        <f>VLOOKUP(AB4,'اختيار المقررات'!$AV$5:$AY$54,4,0)</f>
        <v>#N/A</v>
      </c>
      <c r="AD5" s="75" t="str">
        <f>IFERROR(IF(OR(AD4=الإستمارة!$C$12,AD4=الإستمارة!$C$13,AD4=الإستمارة!$C$14,AD4=الإستمارة!$C$15,AD4=الإستمارة!$C$16,AD4=الإستمارة!$C$17,AD4=الإستمارة!$C$18,AD4=الإستمارة!$C$19),VLOOKUP(AD4,الإستمارة!$C$12:$H$19,6,0),VLOOKUP(AD4,الإستمارة!$L$12:$P$19,6,0)),"")</f>
        <v/>
      </c>
      <c r="AE5" s="76" t="e">
        <f>VLOOKUP(AD4,'اختيار المقررات'!$AV$5:$AY$54,4,0)</f>
        <v>#N/A</v>
      </c>
      <c r="AF5" s="75" t="str">
        <f>IFERROR(IF(OR(AF4=الإستمارة!$C$12,AF4=الإستمارة!$C$13,AF4=الإستمارة!$C$14,AF4=الإستمارة!$C$15,AF4=الإستمارة!$C$16,AF4=الإستمارة!$C$17,AF4=الإستمارة!$C$18,AF4=الإستمارة!$C$19),VLOOKUP(AF4,الإستمارة!$C$12:$H$19,6,0),VLOOKUP(AF4,الإستمارة!$L$12:$P$19,6,0)),"")</f>
        <v/>
      </c>
      <c r="AG5" s="76" t="e">
        <f>VLOOKUP(AF4,'اختيار المقررات'!$AV$5:$AY$54,4,0)</f>
        <v>#N/A</v>
      </c>
      <c r="AH5" s="75" t="str">
        <f>IFERROR(IF(OR(AH4=الإستمارة!$C$12,AH4=الإستمارة!$C$13,AH4=الإستمارة!$C$14,AH4=الإستمارة!$C$15,AH4=الإستمارة!$C$16,AH4=الإستمارة!$C$17,AH4=الإستمارة!$C$18,AH4=الإستمارة!$C$19),VLOOKUP(AH4,الإستمارة!$C$12:$H$19,6,0),VLOOKUP(AH4,الإستمارة!$L$12:$P$19,6,0)),"")</f>
        <v/>
      </c>
      <c r="AI5" s="76" t="e">
        <f>VLOOKUP(AH4,'اختيار المقررات'!$AV$5:$AY$54,4,0)</f>
        <v>#N/A</v>
      </c>
      <c r="AJ5" s="75" t="str">
        <f>IFERROR(IF(OR(AJ4=الإستمارة!$C$12,AJ4=الإستمارة!$C$13,AJ4=الإستمارة!$C$14,AJ4=الإستمارة!$C$15,AJ4=الإستمارة!$C$16,AJ4=الإستمارة!$C$17,AJ4=الإستمارة!$C$18,AJ4=الإستمارة!$C$19),VLOOKUP(AJ4,الإستمارة!$C$12:$H$19,6,0),VLOOKUP(AJ4,الإستمارة!$L$12:$P$19,6,0)),"")</f>
        <v/>
      </c>
      <c r="AK5" s="76" t="e">
        <f>VLOOKUP(AJ4,'اختيار المقررات'!$AV$5:$AY$54,4,0)</f>
        <v>#N/A</v>
      </c>
      <c r="AL5" s="75" t="str">
        <f>IFERROR(IF(OR(AL4=الإستمارة!$C$12,AL4=الإستمارة!$C$13,AL4=الإستمارة!$C$14,AL4=الإستمارة!$C$15,AL4=الإستمارة!$C$16,AL4=الإستمارة!$C$17,AL4=الإستمارة!$C$18,AL4=الإستمارة!$C$19),VLOOKUP(AL4,الإستمارة!$C$12:$H$19,6,0),VLOOKUP(AL4,الإستمارة!$L$12:$P$19,6,0)),"")</f>
        <v/>
      </c>
      <c r="AM5" s="76" t="e">
        <f>VLOOKUP(AL4,'اختيار المقررات'!$AV$5:$AY$54,4,0)</f>
        <v>#N/A</v>
      </c>
      <c r="AN5" s="75" t="str">
        <f>IFERROR(IF(OR(AN4=الإستمارة!$C$12,AN4=الإستمارة!$C$13,AN4=الإستمارة!$C$14,AN4=الإستمارة!$C$15,AN4=الإستمارة!$C$16,AN4=الإستمارة!$C$17,AN4=الإستمارة!$C$18,AN4=الإستمارة!$C$19),VLOOKUP(AN4,الإستمارة!$C$12:$H$19,6,0),VLOOKUP(AN4,الإستمارة!$L$12:$P$19,6,0)),"")</f>
        <v/>
      </c>
      <c r="AO5" s="76" t="e">
        <f>VLOOKUP(AN4,'اختيار المقررات'!$AV$5:$AY$54,4,0)</f>
        <v>#N/A</v>
      </c>
      <c r="AP5" s="75" t="str">
        <f>IFERROR(IF(OR(AP4=الإستمارة!$C$12,AP4=الإستمارة!$C$13,AP4=الإستمارة!$C$14,AP4=الإستمارة!$C$15,AP4=الإستمارة!$C$16,AP4=الإستمارة!$C$17,AP4=الإستمارة!$C$18,AP4=الإستمارة!$C$19),VLOOKUP(AP4,الإستمارة!$C$12:$H$19,6,0),VLOOKUP(AP4,الإستمارة!$L$12:$P$19,6,0)),"")</f>
        <v/>
      </c>
      <c r="AQ5" s="76" t="e">
        <f>VLOOKUP(AP4,'اختيار المقررات'!$AV$5:$AY$54,4,0)</f>
        <v>#N/A</v>
      </c>
      <c r="AR5" s="75" t="str">
        <f>IFERROR(IF(OR(AR4=الإستمارة!$C$12,AR4=الإستمارة!$C$13,AR4=الإستمارة!$C$14,AR4=الإستمارة!$C$15,AR4=الإستمارة!$C$16,AR4=الإستمارة!$C$17,AR4=الإستمارة!$C$18,AR4=الإستمارة!$C$19),VLOOKUP(AR4,الإستمارة!$C$12:$H$19,6,0),VLOOKUP(AR4,الإستمارة!$L$12:$P$19,6,0)),"")</f>
        <v/>
      </c>
      <c r="AS5" s="76" t="str">
        <f>IFERROR(VLOOKUP(AR4,'اختيار المقررات'!$AV$5:$AY$54,4,0),"")</f>
        <v/>
      </c>
      <c r="AT5" s="75" t="str">
        <f>IFERROR(IF(OR(AT4=الإستمارة!$C$12,AT4=الإستمارة!$C$13,AT4=الإستمارة!$C$14,AT4=الإستمارة!$C$15,AT4=الإستمارة!$C$16,AT4=الإستمارة!$C$17,AT4=الإستمارة!$C$18,AT4=الإستمارة!$C$19),VLOOKUP(AT4,الإستمارة!$C$12:$H$19,6,0),VLOOKUP(AT4,الإستمارة!$L$12:$P$19,6,0)),"")</f>
        <v/>
      </c>
      <c r="AU5" s="76" t="str">
        <f>IFERROR(VLOOKUP(AT4,'اختيار المقررات'!$AV$5:$AY$54,4,0),"")</f>
        <v/>
      </c>
      <c r="AV5" s="75" t="str">
        <f>IFERROR(IF(OR(AV4=الإستمارة!$C$12,AV4=الإستمارة!$C$13,AV4=الإستمارة!$C$14,AV4=الإستمارة!$C$15,AV4=الإستمارة!$C$16,AV4=الإستمارة!$C$17,AV4=الإستمارة!$C$18,AV4=الإستمارة!$C$19),VLOOKUP(AV4,الإستمارة!$C$12:$H$19,6,0),VLOOKUP(AV4,الإستمارة!$L$12:$P$19,6,0)),"")</f>
        <v/>
      </c>
      <c r="AW5" s="76" t="str">
        <f>IFERROR(VLOOKUP(AV4,'اختيار المقررات'!$AV$5:$AY$54,4,0),"")</f>
        <v/>
      </c>
      <c r="AX5" s="75" t="str">
        <f>IFERROR(IF(OR(AX4=الإستمارة!$C$12,AX4=الإستمارة!$C$13,AX4=الإستمارة!$C$14,AX4=الإستمارة!$C$15,AX4=الإستمارة!$C$16,AX4=الإستمارة!$C$17,AX4=الإستمارة!$C$18,AX4=الإستمارة!$C$19),VLOOKUP(AX4,الإستمارة!$C$12:$H$19,6,0),VLOOKUP(AX4,الإستمارة!$L$12:$P$19,6,0)),"")</f>
        <v/>
      </c>
      <c r="AY5" s="76" t="str">
        <f>IFERROR(VLOOKUP(AX4,'اختيار المقررات'!$AV$5:$AY$54,4,0),"")</f>
        <v/>
      </c>
      <c r="AZ5" s="75" t="str">
        <f>IFERROR(IF(OR(AZ4=الإستمارة!$C$12,AZ4=الإستمارة!$C$13,AZ4=الإستمارة!$C$14,AZ4=الإستمارة!$C$15,AZ4=الإستمارة!$C$16,AZ4=الإستمارة!$C$17,AZ4=الإستمارة!$C$18,AZ4=الإستمارة!$C$19),VLOOKUP(AZ4,الإستمارة!$C$12:$H$19,6,0),VLOOKUP(AZ4,الإستمارة!$L$12:$P$19,6,0)),"")</f>
        <v/>
      </c>
      <c r="BA5" s="76" t="str">
        <f>IFERROR(VLOOKUP(AZ4,'اختيار المقررات'!$AV$5:$AY$54,4,0),"")</f>
        <v/>
      </c>
      <c r="BB5" s="75" t="str">
        <f>IFERROR(IF(OR(BB4=الإستمارة!$C$12,BB4=الإستمارة!$C$13,BB4=الإستمارة!$C$14,BB4=الإستمارة!$C$15,BB4=الإستمارة!$C$16,BB4=الإستمارة!$C$17,BB4=الإستمارة!$C$18,BB4=الإستمارة!$C$19),VLOOKUP(BB4,الإستمارة!$C$12:$H$19,6,0),VLOOKUP(BB4,الإستمارة!$L$12:$P$19,6,0)),"")</f>
        <v/>
      </c>
      <c r="BC5" s="76" t="str">
        <f>IFERROR(VLOOKUP(BB4,'اختيار المقررات'!$AV$5:$AY$54,4,0),"")</f>
        <v/>
      </c>
      <c r="BD5" s="75" t="str">
        <f>IFERROR(IF(OR(BD4=الإستمارة!$C$12,BD4=الإستمارة!$C$13,BD4=الإستمارة!$C$14,BD4=الإستمارة!$C$15,BD4=الإستمارة!$C$16,BD4=الإستمارة!$C$17,BD4=الإستمارة!$C$18,BD4=الإستمارة!$C$19),VLOOKUP(BD4,الإستمارة!$C$12:$H$19,6,0),VLOOKUP(BD4,الإستمارة!$L$12:$P$19,6,0)),"")</f>
        <v/>
      </c>
      <c r="BE5" s="76" t="e">
        <f>VLOOKUP(BD4,'اختيار المقررات'!$AV$5:$AY$54,4,0)</f>
        <v>#N/A</v>
      </c>
      <c r="BF5" s="75" t="str">
        <f>IFERROR(IF(OR(BF4=الإستمارة!$C$12,BF4=الإستمارة!$C$13,BF4=الإستمارة!$C$14,BF4=الإستمارة!$C$15,BF4=الإستمارة!$C$16,BF4=الإستمارة!$C$17,BF4=الإستمارة!$C$18,BF4=الإستمارة!$C$19),VLOOKUP(BF4,الإستمارة!$C$12:$H$19,6,0),VLOOKUP(BF4,الإستمارة!$L$12:$P$19,6,0)),"")</f>
        <v/>
      </c>
      <c r="BG5" s="76" t="e">
        <f>VLOOKUP(BF4,'اختيار المقررات'!$AV$5:$AY$54,4,0)</f>
        <v>#N/A</v>
      </c>
      <c r="BH5" s="75" t="str">
        <f>IFERROR(IF(OR(BH4=الإستمارة!$C$12,BH4=الإستمارة!$C$13,BH4=الإستمارة!$C$14,BH4=الإستمارة!$C$15,BH4=الإستمارة!$C$16,BH4=الإستمارة!$C$17,BH4=الإستمارة!$C$18,BH4=الإستمارة!$C$19),VLOOKUP(BH4,الإستمارة!$C$12:$H$19,6,0),VLOOKUP(BH4,الإستمارة!$L$12:$P$19,6,0)),"")</f>
        <v/>
      </c>
      <c r="BI5" s="76" t="e">
        <f>VLOOKUP(BH4,'اختيار المقررات'!$AV$5:$AY$54,4,0)</f>
        <v>#N/A</v>
      </c>
      <c r="BJ5" s="75" t="str">
        <f>IFERROR(IF(OR(BJ4=الإستمارة!$C$12,BJ4=الإستمارة!$C$13,BJ4=الإستمارة!$C$14,BJ4=الإستمارة!$C$15,BJ4=الإستمارة!$C$16,BJ4=الإستمارة!$C$17,BJ4=الإستمارة!$C$18,BJ4=الإستمارة!$C$19),VLOOKUP(BJ4,الإستمارة!$C$12:$H$19,6,0),VLOOKUP(BJ4,الإستمارة!$L$12:$P$19,6,0)),"")</f>
        <v/>
      </c>
      <c r="BK5" s="76" t="e">
        <f>VLOOKUP(BJ4,'اختيار المقررات'!$AV$5:$AY$54,4,0)</f>
        <v>#N/A</v>
      </c>
      <c r="BL5" s="75" t="str">
        <f>IFERROR(IF(OR(BL4=الإستمارة!$C$12,BL4=الإستمارة!$C$13,BL4=الإستمارة!$C$14,BL4=الإستمارة!$C$15,BL4=الإستمارة!$C$16,BL4=الإستمارة!$C$17,BL4=الإستمارة!$C$18,BL4=الإستمارة!$C$19),VLOOKUP(BL4,الإستمارة!$C$12:$H$19,6,0),VLOOKUP(BL4,الإستمارة!$L$12:$P$19,6,0)),"")</f>
        <v/>
      </c>
      <c r="BM5" s="76" t="e">
        <f>VLOOKUP(BL4,'اختيار المقررات'!$AV$5:$AY$54,4,0)</f>
        <v>#N/A</v>
      </c>
      <c r="BN5" s="75" t="str">
        <f>IFERROR(IF(OR(BN4=الإستمارة!$C$12,BN4=الإستمارة!$C$13,BN4=الإستمارة!$C$14,BN4=الإستمارة!$C$15,BN4=الإستمارة!$C$16,BN4=الإستمارة!$C$17,BN4=الإستمارة!$C$18,BN4=الإستمارة!$C$19),VLOOKUP(BN4,الإستمارة!$C$12:$H$19,6,0),VLOOKUP(BN4,الإستمارة!$L$12:$P$19,6,0)),"")</f>
        <v/>
      </c>
      <c r="BO5" s="76" t="e">
        <f>VLOOKUP(BN4,'اختيار المقررات'!$AV$5:$AY$54,4,0)</f>
        <v>#N/A</v>
      </c>
      <c r="BP5" s="75" t="str">
        <f>IFERROR(IF(OR(BP4=الإستمارة!$C$12,BP4=الإستمارة!$C$13,BP4=الإستمارة!$C$14,BP4=الإستمارة!$C$15,BP4=الإستمارة!$C$16,BP4=الإستمارة!$C$17,BP4=الإستمارة!$C$18,BP4=الإستمارة!$C$19),VLOOKUP(BP4,الإستمارة!$C$12:$H$19,6,0),VLOOKUP(BP4,الإستمارة!$L$12:$P$19,6,0)),"")</f>
        <v/>
      </c>
      <c r="BQ5" s="76" t="e">
        <f>VLOOKUP(BP4,'اختيار المقررات'!$AV$5:$AY$54,4,0)</f>
        <v>#N/A</v>
      </c>
      <c r="BR5" s="75" t="str">
        <f>IFERROR(IF(OR(BR4=الإستمارة!$C$12,BR4=الإستمارة!$C$13,BR4=الإستمارة!$C$14,BR4=الإستمارة!$C$15,BR4=الإستمارة!$C$16,BR4=الإستمارة!$C$17,BR4=الإستمارة!$C$18,BR4=الإستمارة!$C$19),VLOOKUP(BR4,الإستمارة!$C$12:$H$19,6,0),VLOOKUP(BR4,الإستمارة!$L$12:$P$19,6,0)),"")</f>
        <v/>
      </c>
      <c r="BS5" s="76" t="e">
        <f>VLOOKUP(BR4,'اختيار المقررات'!$AV$5:$AY$54,4,0)</f>
        <v>#N/A</v>
      </c>
      <c r="BT5" s="75" t="str">
        <f>IFERROR(IF(OR(BT4=الإستمارة!$C$12,BT4=الإستمارة!$C$13,BT4=الإستمارة!$C$14,BT4=الإستمارة!$C$15,BT4=الإستمارة!$C$16,BT4=الإستمارة!$C$17,BT4=الإستمارة!$C$18,BT4=الإستمارة!$C$19),VLOOKUP(BT4,الإستمارة!$C$12:$H$19,6,0),VLOOKUP(BT4,الإستمارة!$L$12:$P$19,6,0)),"")</f>
        <v/>
      </c>
      <c r="BU5" s="76" t="e">
        <f>VLOOKUP(BT4,'اختيار المقررات'!$AV$5:$AY$54,4,0)</f>
        <v>#N/A</v>
      </c>
      <c r="BV5" s="75" t="str">
        <f>IFERROR(IF(OR(BV4=الإستمارة!$C$12,BV4=الإستمارة!$C$13,BV4=الإستمارة!$C$14,BV4=الإستمارة!$C$15,BV4=الإستمارة!$C$16,BV4=الإستمارة!$C$17,BV4=الإستمارة!$C$18,BV4=الإستمارة!$C$19),VLOOKUP(BV4,الإستمارة!$C$12:$H$19,6,0),VLOOKUP(BV4,الإستمارة!$L$12:$P$19,6,0)),"")</f>
        <v/>
      </c>
      <c r="BW5" s="76" t="e">
        <f>VLOOKUP(BV4,'اختيار المقررات'!$AV$5:$AY$54,4,0)</f>
        <v>#N/A</v>
      </c>
      <c r="BX5" s="75" t="str">
        <f>IFERROR(IF(OR(BX4=الإستمارة!$C$12,BX4=الإستمارة!$C$13,BX4=الإستمارة!$C$14,BX4=الإستمارة!$C$15,BX4=الإستمارة!$C$16,BX4=الإستمارة!$C$17,BX4=الإستمارة!$C$18,BX4=الإستمارة!$C$19),VLOOKUP(BX4,الإستمارة!$C$12:$H$19,6,0),VLOOKUP(BX4,الإستمارة!$L$12:$P$19,6,0)),"")</f>
        <v/>
      </c>
      <c r="BY5" s="76" t="e">
        <f>VLOOKUP(BX4,'اختيار المقررات'!$AV$5:$AY$54,4,0)</f>
        <v>#N/A</v>
      </c>
      <c r="BZ5" s="75" t="str">
        <f>IFERROR(IF(OR(BZ4=الإستمارة!$C$12,BZ4=الإستمارة!$C$13,BZ4=الإستمارة!$C$14,BZ4=الإستمارة!$C$15,BZ4=الإستمارة!$C$16,BZ4=الإستمارة!$C$17,BZ4=الإستمارة!$C$18,BZ4=الإستمارة!$C$19),VLOOKUP(BZ4,الإستمارة!$C$12:$H$19,6,0),VLOOKUP(BZ4,الإستمارة!$L$12:$P$19,6,0)),"")</f>
        <v/>
      </c>
      <c r="CA5" s="76" t="e">
        <f>VLOOKUP(BZ4,'اختيار المقررات'!$AV$5:$AY$54,4,0)</f>
        <v>#N/A</v>
      </c>
      <c r="CB5" s="75" t="str">
        <f>IFERROR(IF(OR(CB4=الإستمارة!$C$12,CB4=الإستمارة!$C$13,CB4=الإستمارة!$C$14,CB4=الإستمارة!$C$15,CB4=الإستمارة!$C$16,CB4=الإستمارة!$C$17,CB4=الإستمارة!$C$18,CB4=الإستمارة!$C$19),VLOOKUP(CB4,الإستمارة!$C$12:$H$19,6,0),VLOOKUP(CB4,الإستمارة!$L$12:$P$19,6,0)),"")</f>
        <v/>
      </c>
      <c r="CC5" s="76" t="str">
        <f>IFERROR(VLOOKUP(CB4,'اختيار المقررات'!$AV$5:$AY$54,4,0),"")</f>
        <v/>
      </c>
      <c r="CD5" s="75" t="str">
        <f>IFERROR(IF(OR(CD4=الإستمارة!$C$12,CD4=الإستمارة!$C$13,CD4=الإستمارة!$C$14,CD4=الإستمارة!$C$15,CD4=الإستمارة!$C$16,CD4=الإستمارة!$C$17,CD4=الإستمارة!$C$18,CD4=الإستمارة!$C$19),VLOOKUP(CD4,الإستمارة!$C$12:$H$19,6,0),VLOOKUP(CD4,الإستمارة!$L$12:$P$19,6,0)),"")</f>
        <v/>
      </c>
      <c r="CE5" s="76" t="str">
        <f>IFERROR(VLOOKUP(CD4,'اختيار المقررات'!$AV$5:$AY$54,4,0),"")</f>
        <v/>
      </c>
      <c r="CF5" s="75" t="str">
        <f>IFERROR(IF(OR(CF4=الإستمارة!$C$12,CF4=الإستمارة!$C$13,CF4=الإستمارة!$C$14,CF4=الإستمارة!$C$15,CF4=الإستمارة!$C$16,CF4=الإستمارة!$C$17,CF4=الإستمارة!$C$18,CF4=الإستمارة!$C$19),VLOOKUP(CF4,الإستمارة!$C$12:$H$19,6,0),VLOOKUP(CF4,الإستمارة!$L$12:$P$19,6,0)),"")</f>
        <v/>
      </c>
      <c r="CG5" s="76" t="str">
        <f>IFERROR(VLOOKUP(CF4,'اختيار المقررات'!$AV$5:$AY$54,4,0),"")</f>
        <v/>
      </c>
      <c r="CH5" s="75" t="str">
        <f>IFERROR(IF(OR(CH4=الإستمارة!$C$12,CH4=الإستمارة!$C$13,CH4=الإستمارة!$C$14,CH4=الإستمارة!$C$15,CH4=الإستمارة!$C$16,CH4=الإستمارة!$C$17,CH4=الإستمارة!$C$18,CH4=الإستمارة!$C$19),VLOOKUP(CH4,الإستمارة!$C$12:$H$19,6,0),VLOOKUP(CH4,الإستمارة!$L$12:$P$19,6,0)),"")</f>
        <v/>
      </c>
      <c r="CI5" s="76" t="str">
        <f>IFERROR(VLOOKUP(CH4,'اختيار المقررات'!$AV$5:$AY$54,4,0),"")</f>
        <v/>
      </c>
      <c r="CJ5" s="75" t="str">
        <f>IFERROR(IF(OR(CJ4=الإستمارة!$C$12,CJ4=الإستمارة!$C$13,CJ4=الإستمارة!$C$14,CJ4=الإستمارة!$C$15,CJ4=الإستمارة!$C$16,CJ4=الإستمارة!$C$17,CJ4=الإستمارة!$C$18,CJ4=الإستمارة!$C$19),VLOOKUP(CJ4,الإستمارة!$C$12:$H$19,6,0),VLOOKUP(CJ4,الإستمارة!$L$12:$P$19,6,0)),"")</f>
        <v/>
      </c>
      <c r="CK5" s="76" t="str">
        <f>IFERROR(VLOOKUP(CJ4,'اختيار المقررات'!$AV$5:$AY$54,4,0),"")</f>
        <v/>
      </c>
      <c r="CL5" s="75" t="str">
        <f>IFERROR(IF(OR(CL4=الإستمارة!$C$12,CL4=الإستمارة!$C$13,CL4=الإستمارة!$C$14,CL4=الإستمارة!$C$15,CL4=الإستمارة!$C$16,CL4=الإستمارة!$C$17,CL4=الإستمارة!$C$18,CL4=الإستمارة!$C$19),VLOOKUP(CL4,الإستمارة!$C$12:$H$19,6,0),VLOOKUP(CL4,الإستمارة!$L$12:$P$19,6,0)),"")</f>
        <v/>
      </c>
      <c r="CM5" s="76" t="str">
        <f>IFERROR(VLOOKUP(CL4,'اختيار المقررات'!$AV$5:$AY$54,4,0),"")</f>
        <v/>
      </c>
      <c r="CN5" s="75" t="str">
        <f>IFERROR(IF(OR(CN4=الإستمارة!$C$12,CN4=الإستمارة!$C$13,CN4=الإستمارة!$C$14,CN4=الإستمارة!$C$15,CN4=الإستمارة!$C$16,CN4=الإستمارة!$C$17,CN4=الإستمارة!$C$18,CN4=الإستمارة!$C$19),VLOOKUP(CN4,الإستمارة!$C$12:$H$19,6,0),VLOOKUP(CN4,الإستمارة!$L$12:$P$19,6,0)),"")</f>
        <v/>
      </c>
      <c r="CO5" s="76" t="e">
        <f>VLOOKUP(CN4,'اختيار المقررات'!$AV$5:$AY$54,4,0)</f>
        <v>#N/A</v>
      </c>
      <c r="CP5" s="75" t="str">
        <f>IFERROR(IF(OR(CP4=الإستمارة!$C$12,CP4=الإستمارة!$C$13,CP4=الإستمارة!$C$14,CP4=الإستمارة!$C$15,CP4=الإستمارة!$C$16,CP4=الإستمارة!$C$17,CP4=الإستمارة!$C$18,CP4=الإستمارة!$C$19),VLOOKUP(CP4,الإستمارة!$C$12:$H$19,6,0),VLOOKUP(CP4,الإستمارة!$L$12:$P$19,6,0)),"")</f>
        <v/>
      </c>
      <c r="CQ5" s="76" t="e">
        <f>VLOOKUP(CP4,'اختيار المقررات'!$AV$5:$AY$54,4,0)</f>
        <v>#N/A</v>
      </c>
      <c r="CR5" s="75" t="str">
        <f>IFERROR(IF(OR(CR4=الإستمارة!$C$12,CR4=الإستمارة!$C$13,CR4=الإستمارة!$C$14,CR4=الإستمارة!$C$15,CR4=الإستمارة!$C$16,CR4=الإستمارة!$C$17,CR4=الإستمارة!$C$18,CR4=الإستمارة!$C$19),VLOOKUP(CR4,الإستمارة!$C$12:$H$19,6,0),VLOOKUP(CR4,الإستمارة!$L$12:$P$19,6,0)),"")</f>
        <v/>
      </c>
      <c r="CS5" s="76" t="e">
        <f>VLOOKUP(CR4,'اختيار المقررات'!$AV$5:$AY$54,4,0)</f>
        <v>#N/A</v>
      </c>
      <c r="CT5" s="75" t="str">
        <f>IFERROR(IF(OR(CT4=الإستمارة!$C$12,CT4=الإستمارة!$C$13,CT4=الإستمارة!$C$14,CT4=الإستمارة!$C$15,CT4=الإستمارة!$C$16,CT4=الإستمارة!$C$17,CT4=الإستمارة!$C$18,CT4=الإستمارة!$C$19),VLOOKUP(CT4,الإستمارة!$C$12:$H$19,6,0),VLOOKUP(CT4,الإستمارة!$L$12:$P$19,6,0)),"")</f>
        <v/>
      </c>
      <c r="CU5" s="76" t="e">
        <f>VLOOKUP(CT4,'اختيار المقررات'!$AV$5:$AY$54,4,0)</f>
        <v>#N/A</v>
      </c>
      <c r="CV5" s="75" t="str">
        <f>IFERROR(IF(OR(CV4=الإستمارة!$C$12,CV4=الإستمارة!$C$13,CV4=الإستمارة!$C$14,CV4=الإستمارة!$C$15,CV4=الإستمارة!$C$16,CV4=الإستمارة!$C$17,CV4=الإستمارة!$C$18,CV4=الإستمارة!$C$19),VLOOKUP(CV4,الإستمارة!$C$12:$H$19,6,0),VLOOKUP(CV4,الإستمارة!$L$12:$P$19,6,0)),"")</f>
        <v/>
      </c>
      <c r="CW5" s="76" t="e">
        <f>VLOOKUP(CV4,'اختيار المقررات'!$AV$5:$AY$54,4,0)</f>
        <v>#N/A</v>
      </c>
      <c r="CX5" s="75" t="str">
        <f>IFERROR(IF(OR(CX4=الإستمارة!$C$12,CX4=الإستمارة!$C$13,CX4=الإستمارة!$C$14,CX4=الإستمارة!$C$15,CX4=الإستمارة!$C$16,CX4=الإستمارة!$C$17,CX4=الإستمارة!$C$18,CX4=الإستمارة!$C$19),VLOOKUP(CX4,الإستمارة!$C$12:$H$19,6,0),VLOOKUP(CX4,الإستمارة!$L$12:$P$19,6,0)),"")</f>
        <v/>
      </c>
      <c r="CY5" s="76" t="e">
        <f>VLOOKUP(CX4,'اختيار المقررات'!$AV$5:$AY$54,4,0)</f>
        <v>#N/A</v>
      </c>
      <c r="CZ5" s="75" t="str">
        <f>IFERROR(IF(OR(CZ4=الإستمارة!$C$12,CZ4=الإستمارة!$C$13,CZ4=الإستمارة!$C$14,CZ4=الإستمارة!$C$15,CZ4=الإستمارة!$C$16,CZ4=الإستمارة!$C$17,CZ4=الإستمارة!$C$18,CZ4=الإستمارة!$C$19),VLOOKUP(CZ4,الإستمارة!$C$12:$H$19,6,0),VLOOKUP(CZ4,الإستمارة!$L$12:$P$19,6,0)),"")</f>
        <v/>
      </c>
      <c r="DA5" s="76" t="e">
        <f>VLOOKUP(CZ4,'اختيار المقررات'!$AV$5:$AY$54,4,0)</f>
        <v>#N/A</v>
      </c>
      <c r="DB5" s="75" t="str">
        <f>IFERROR(IF(OR(DB4=الإستمارة!$C$12,DB4=الإستمارة!$C$13,DB4=الإستمارة!$C$14,DB4=الإستمارة!$C$15,DB4=الإستمارة!$C$16,DB4=الإستمارة!$C$17,DB4=الإستمارة!$C$18,DB4=الإستمارة!$C$19),VLOOKUP(DB4,الإستمارة!$C$12:$H$19,6,0),VLOOKUP(DB4,الإستمارة!$L$12:$P$19,6,0)),"")</f>
        <v/>
      </c>
      <c r="DC5" s="76" t="e">
        <f>VLOOKUP(DB4,'اختيار المقررات'!$AV$5:$AY$54,4,0)</f>
        <v>#N/A</v>
      </c>
      <c r="DD5" s="75" t="str">
        <f>IFERROR(IF(OR(DD4=الإستمارة!$C$12,DD4=الإستمارة!$C$13,DD4=الإستمارة!$C$14,DD4=الإستمارة!$C$15,DD4=الإستمارة!$C$16,DD4=الإستمارة!$C$17,DD4=الإستمارة!$C$18,DD4=الإستمارة!$C$19),VLOOKUP(DD4,الإستمارة!$C$12:$H$19,6,0),VLOOKUP(DD4,الإستمارة!$L$12:$P$19,6,0)),"")</f>
        <v/>
      </c>
      <c r="DE5" s="76" t="e">
        <f>VLOOKUP(DD4,'اختيار المقررات'!$AV$5:$AY$54,4,0)</f>
        <v>#N/A</v>
      </c>
      <c r="DF5" s="75" t="str">
        <f>IFERROR(IF(OR(DF4=الإستمارة!$C$12,DF4=الإستمارة!$C$13,DF4=الإستمارة!$C$14,DF4=الإستمارة!$C$15,DF4=الإستمارة!$C$16,DF4=الإستمارة!$C$17,DF4=الإستمارة!$C$18,DF4=الإستمارة!$C$19),VLOOKUP(DF4,الإستمارة!$C$12:$H$19,6,0),VLOOKUP(DF4,الإستمارة!$L$12:$P$19,6,0)),"")</f>
        <v/>
      </c>
      <c r="DG5" s="76" t="e">
        <f>VLOOKUP(DF4,'اختيار المقررات'!$AV$5:$AY$54,4,0)</f>
        <v>#N/A</v>
      </c>
      <c r="DH5" s="75" t="str">
        <f>IFERROR(IF(OR(DH4=الإستمارة!$C$12,DH4=الإستمارة!$C$13,DH4=الإستمارة!$C$14,DH4=الإستمارة!$C$15,DH4=الإستمارة!$C$16,DH4=الإستمارة!$C$17,DH4=الإستمارة!$C$18,DH4=الإستمارة!$C$19),VLOOKUP(DH4,الإستمارة!$C$12:$H$19,6,0),VLOOKUP(DH4,الإستمارة!$L$12:$P$19,6,0)),"")</f>
        <v/>
      </c>
      <c r="DI5" s="76" t="e">
        <f>VLOOKUP(DH4,'اختيار المقررات'!$AV$5:$AY$54,4,0)</f>
        <v>#N/A</v>
      </c>
      <c r="DJ5" s="75" t="str">
        <f>IFERROR(IF(OR(DJ4=الإستمارة!$C$12,DJ4=الإستمارة!$C$13,DJ4=الإستمارة!$C$14,DJ4=الإستمارة!$C$15,DJ4=الإستمارة!$C$16,DJ4=الإستمارة!$C$17,DJ4=الإستمارة!$C$18,DJ4=الإستمارة!$C$19),VLOOKUP(DJ4,الإستمارة!$C$12:$H$19,6,0),VLOOKUP(DJ4,الإستمارة!$L$12:$P$19,6,0)),"")</f>
        <v/>
      </c>
      <c r="DK5" s="76" t="str">
        <f>IFERROR(VLOOKUP(DJ4,'اختيار المقررات'!$AV$5:$AY$54,4,0),"")</f>
        <v/>
      </c>
      <c r="DL5" s="75" t="str">
        <f>IFERROR(IF(OR(DL4=الإستمارة!$C$12,DL4=الإستمارة!$C$13,DL4=الإستمارة!$C$14,DL4=الإستمارة!$C$15,DL4=الإستمارة!$C$16,DL4=الإستمارة!$C$17,DL4=الإستمارة!$C$18,DL4=الإستمارة!$C$19),VLOOKUP(DL4,الإستمارة!$C$12:$H$19,6,0),VLOOKUP(DL4,الإستمارة!$L$12:$P$19,6,0)),"")</f>
        <v/>
      </c>
      <c r="DM5" s="76" t="str">
        <f>IFERROR(VLOOKUP(DL4,'اختيار المقررات'!$AV$5:$AY$54,4,0),"")</f>
        <v/>
      </c>
      <c r="DN5" s="75" t="str">
        <f>IFERROR(IF(OR(DN4=الإستمارة!$C$12,DN4=الإستمارة!$C$13,DN4=الإستمارة!$C$14,DN4=الإستمارة!$C$15,DN4=الإستمارة!$C$16,DN4=الإستمارة!$C$17,DN4=الإستمارة!$C$18,DN4=الإستمارة!$C$19),VLOOKUP(DN4,الإستمارة!$C$12:$H$19,6,0),VLOOKUP(DN4,الإستمارة!$L$12:$P$19,6,0)),"")</f>
        <v/>
      </c>
      <c r="DO5" s="76" t="str">
        <f>IFERROR(VLOOKUP(DN4,'اختيار المقررات'!$AV$5:$AY$54,4,0),"")</f>
        <v/>
      </c>
      <c r="DP5" s="75" t="str">
        <f>IFERROR(IF(OR(DP4=الإستمارة!$C$12,DP4=الإستمارة!$C$13,DP4=الإستمارة!$C$14,DP4=الإستمارة!$C$15,DP4=الإستمارة!$C$16,DP4=الإستمارة!$C$17,DP4=الإستمارة!$C$18,DP4=الإستمارة!$C$19),VLOOKUP(DP4,الإستمارة!$C$12:$H$19,6,0),VLOOKUP(DP4,الإستمارة!$L$12:$P$19,6,0)),"")</f>
        <v/>
      </c>
      <c r="DQ5" s="76" t="str">
        <f>IFERROR(VLOOKUP(DP4,'اختيار المقررات'!$AV$5:$AY$54,4,0),"")</f>
        <v/>
      </c>
      <c r="DR5" s="75" t="str">
        <f>IFERROR(IF(OR(DR4=الإستمارة!$C$12,DR4=الإستمارة!$C$13,DR4=الإستمارة!$C$14,DR4=الإستمارة!$C$15,DR4=الإستمارة!$C$16,DR4=الإستمارة!$C$17,DR4=الإستمارة!$C$18,DR4=الإستمارة!$C$19),VLOOKUP(DR4,الإستمارة!$C$12:$H$19,6,0),VLOOKUP(DR4,الإستمارة!$L$12:$P$19,6,0)),"")</f>
        <v/>
      </c>
      <c r="DS5" s="76" t="str">
        <f>IFERROR(VLOOKUP(DR4,'اختيار المقررات'!$AV$5:$AY$54,4,0),"")</f>
        <v/>
      </c>
      <c r="DT5" s="75" t="str">
        <f>IFERROR(IF(OR(DT4=الإستمارة!$C$12,DT4=الإستمارة!$C$13,DT4=الإستمارة!$C$14,DT4=الإستمارة!$C$15,DT4=الإستمارة!$C$16,DT4=الإستمارة!$C$17,DT4=الإستمارة!$C$18,DT4=الإستمارة!$C$19),VLOOKUP(DT4,الإستمارة!$C$12:$H$19,6,0),VLOOKUP(DT4,الإستمارة!$L$12:$P$19,6,0)),"")</f>
        <v/>
      </c>
      <c r="DU5" s="76" t="str">
        <f>IFERROR(VLOOKUP(DT4,'اختيار المقررات'!$AV$5:$AY$54,4,0),"")</f>
        <v/>
      </c>
      <c r="DV5" s="75" t="str">
        <f>IFERROR(IF(OR(DV4=الإستمارة!$C$12,DV4=الإستمارة!$C$13,DV4=الإستمارة!$C$14,DV4=الإستمارة!$C$15,DV4=الإستمارة!$C$16,DV4=الإستمارة!$C$17,DV4=الإستمارة!$C$18,DV4=الإستمارة!$C$19),VLOOKUP(DV4,الإستمارة!$C$12:$H$19,6,0),VLOOKUP(DV4,الإستمارة!$L$12:$P$19,6,0)),"")</f>
        <v/>
      </c>
      <c r="DW5" s="76" t="str">
        <f>IFERROR(VLOOKUP(DV4,'اختيار المقررات'!$AV$5:$AY$54,4,0),"")</f>
        <v/>
      </c>
      <c r="DX5" s="75" t="str">
        <f>IFERROR(IF(OR(DX4=الإستمارة!$C$12,DX4=الإستمارة!$C$13,DX4=الإستمارة!$C$14,DX4=الإستمارة!$C$15,DX4=الإستمارة!$C$16,DX4=الإستمارة!$C$17,DX4=الإستمارة!$C$18,DX4=الإستمارة!$C$19),VLOOKUP(DX4,الإستمارة!$C$12:$H$19,6,0),VLOOKUP(DX4,الإستمارة!$L$12:$P$19,6,0)),"")</f>
        <v/>
      </c>
      <c r="DY5" s="76" t="str">
        <f>IFERROR(VLOOKUP(DX4,'اختيار المقررات'!$AV$5:$AY$54,4,0),"")</f>
        <v/>
      </c>
      <c r="DZ5" s="75" t="str">
        <f>IFERROR(IF(OR(DZ4=الإستمارة!$C$12,DZ4=الإستمارة!$C$13,DZ4=الإستمارة!$C$14,DZ4=الإستمارة!$C$15,DZ4=الإستمارة!$C$16,DZ4=الإستمارة!$C$17,DZ4=الإستمارة!$C$18,DZ4=الإستمارة!$C$19),VLOOKUP(DZ4,الإستمارة!$C$12:$H$19,6,0),VLOOKUP(DZ4,الإستمارة!$L$12:$P$19,6,0)),"")</f>
        <v/>
      </c>
      <c r="EA5" s="76" t="e">
        <f>VLOOKUP(DZ4,'اختيار المقررات'!$AV$5:$AY$54,4,0)</f>
        <v>#N/A</v>
      </c>
      <c r="EB5" s="75" t="str">
        <f>IFERROR(IF(OR(EB4=الإستمارة!$C$12,EB4=الإستمارة!$C$13,EB4=الإستمارة!$C$14,EB4=الإستمارة!$C$15,EB4=الإستمارة!$C$16,EB4=الإستمارة!$C$17,EB4=الإستمارة!$C$18,EB4=الإستمارة!$C$19),VLOOKUP(EB4,الإستمارة!$C$12:$H$19,6,0),VLOOKUP(EB4,الإستمارة!$L$12:$P$19,6,0)),"")</f>
        <v/>
      </c>
      <c r="EC5" s="76" t="e">
        <f>VLOOKUP(EB4,'اختيار المقررات'!$AV$5:$AY$54,4,0)</f>
        <v>#N/A</v>
      </c>
      <c r="ED5" s="75" t="str">
        <f>IFERROR(IF(OR(ED4=الإستمارة!$C$12,ED4=الإستمارة!$C$13,ED4=الإستمارة!$C$14,ED4=الإستمارة!$C$15,ED4=الإستمارة!$C$16,ED4=الإستمارة!$C$17,ED4=الإستمارة!$C$18,ED4=الإستمارة!$C$19),VLOOKUP(ED4,الإستمارة!$C$12:$H$19,6,0),VLOOKUP(ED4,الإستمارة!$L$12:$P$19,6,0)),"")</f>
        <v/>
      </c>
      <c r="EE5" s="76" t="e">
        <f>VLOOKUP(ED4,'اختيار المقررات'!$AV$5:$AY$54,4,0)</f>
        <v>#N/A</v>
      </c>
      <c r="EF5" s="75" t="str">
        <f>IFERROR(IF(OR(EF4=الإستمارة!$C$12,EF4=الإستمارة!$C$13,EF4=الإستمارة!$C$14,EF4=الإستمارة!$C$15,EF4=الإستمارة!$C$16,EF4=الإستمارة!$C$17,EF4=الإستمارة!$C$18,EF4=الإستمارة!$C$19),VLOOKUP(EF4,الإستمارة!$C$12:$H$19,6,0),VLOOKUP(EF4,الإستمارة!$L$12:$P$19,6,0)),"")</f>
        <v/>
      </c>
      <c r="EG5" s="76" t="e">
        <f>VLOOKUP(EF4,'اختيار المقررات'!$AV$5:$AY$54,4,0)</f>
        <v>#N/A</v>
      </c>
      <c r="EH5" s="75" t="str">
        <f>IFERROR(IF(OR(EH4=الإستمارة!$C$12,EH4=الإستمارة!$C$13,EH4=الإستمارة!$C$14,EH4=الإستمارة!$C$15,EH4=الإستمارة!$C$16,EH4=الإستمارة!$C$17,EH4=الإستمارة!$C$18,EH4=الإستمارة!$C$19),VLOOKUP(EH4,الإستمارة!$C$12:$H$19,6,0),VLOOKUP(EH4,الإستمارة!$L$12:$P$19,6,0)),"")</f>
        <v/>
      </c>
      <c r="EI5" s="76" t="e">
        <f>VLOOKUP(EH4,'اختيار المقررات'!$AV$5:$AY$54,4,0)</f>
        <v>#N/A</v>
      </c>
      <c r="EJ5" s="75" t="str">
        <f>IFERROR(IF(OR(EJ4=الإستمارة!$C$12,EJ4=الإستمارة!$C$13,EJ4=الإستمارة!$C$14,EJ4=الإستمارة!$C$15,EJ4=الإستمارة!$C$16,EJ4=الإستمارة!$C$17,EJ4=الإستمارة!$C$18,EJ4=الإستمارة!$C$19),VLOOKUP(EJ4,الإستمارة!$C$12:$H$19,6,0),VLOOKUP(EJ4,الإستمارة!$L$12:$P$19,6,0)),"")</f>
        <v/>
      </c>
      <c r="EK5" s="76" t="e">
        <f>VLOOKUP(EJ4,'اختيار المقررات'!$AV$5:$AY$54,4,0)</f>
        <v>#N/A</v>
      </c>
      <c r="EL5" s="75" t="str">
        <f>IFERROR(IF(OR(EL4=الإستمارة!$C$12,EL4=الإستمارة!$C$13,EL4=الإستمارة!$C$14,EL4=الإستمارة!$C$15,EL4=الإستمارة!$C$16,EL4=الإستمارة!$C$17,EL4=الإستمارة!$C$18,EL4=الإستمارة!$C$19),VLOOKUP(EL4,الإستمارة!$C$12:$H$19,6,0),VLOOKUP(EL4,الإستمارة!$L$12:$P$19,6,0)),"")</f>
        <v/>
      </c>
      <c r="EM5" s="76" t="e">
        <f>VLOOKUP(EL4,'اختيار المقررات'!$AV$5:$AY$54,4,0)</f>
        <v>#N/A</v>
      </c>
      <c r="EN5" s="75" t="str">
        <f>IFERROR(IF(OR(EN4=الإستمارة!$C$12,EN4=الإستمارة!$C$13,EN4=الإستمارة!$C$14,EN4=الإستمارة!$C$15,EN4=الإستمارة!$C$16,EN4=الإستمارة!$C$17,EN4=الإستمارة!$C$18,EN4=الإستمارة!$C$19),VLOOKUP(EN4,الإستمارة!$C$12:$H$19,6,0),VLOOKUP(EN4,الإستمارة!$L$12:$P$19,6,0)),"")</f>
        <v/>
      </c>
      <c r="EO5" s="76" t="e">
        <f>VLOOKUP(EN4,'اختيار المقررات'!$AV$5:$AY$54,4,0)</f>
        <v>#N/A</v>
      </c>
      <c r="EP5" s="75" t="str">
        <f>IFERROR(IF(OR(EP4=الإستمارة!$C$12,EP4=الإستمارة!$C$13,EP4=الإستمارة!$C$14,EP4=الإستمارة!$C$15,EP4=الإستمارة!$C$16,EP4=الإستمارة!$C$17,EP4=الإستمارة!$C$18,EP4=الإستمارة!$C$19),VLOOKUP(EP4,الإستمارة!$C$12:$H$19,6,0),VLOOKUP(EP4,الإستمارة!$L$12:$P$19,6,0)),"")</f>
        <v/>
      </c>
      <c r="EQ5" s="76" t="e">
        <f>VLOOKUP(EP4,'اختيار المقررات'!$AV$5:$AY$54,4,0)</f>
        <v>#N/A</v>
      </c>
      <c r="ER5" s="75" t="str">
        <f>IFERROR(IF(OR(ER4=الإستمارة!$C$12,ER4=الإستمارة!$C$13,ER4=الإستمارة!$C$14,ER4=الإستمارة!$C$15,ER4=الإستمارة!$C$16,ER4=الإستمارة!$C$17,ER4=الإستمارة!$C$18,ER4=الإستمارة!$C$19),VLOOKUP(ER4,الإستمارة!$C$12:$H$19,6,0),VLOOKUP(ER4,الإستمارة!$L$12:$P$19,6,0)),"")</f>
        <v/>
      </c>
      <c r="ES5" s="76" t="e">
        <f>VLOOKUP(ER4,'اختيار المقررات'!$AV$5:$AY$54,4,0)</f>
        <v>#N/A</v>
      </c>
      <c r="ET5" s="75" t="str">
        <f>IFERROR(IF(OR(ET4=الإستمارة!$C$12,ET4=الإستمارة!$C$13,ET4=الإستمارة!$C$14,ET4=الإستمارة!$C$15,ET4=الإستمارة!$C$16,ET4=الإستمارة!$C$17,ET4=الإستمارة!$C$18,ET4=الإستمارة!$C$19),VLOOKUP(ET4,الإستمارة!$C$12:$H$19,6,0),VLOOKUP(ET4,الإستمارة!$L$12:$P$19,6,0)),"")</f>
        <v/>
      </c>
      <c r="EU5" s="76" t="e">
        <f>VLOOKUP(ET4,'اختيار المقررات'!$AV$5:$AY$54,4,0)</f>
        <v>#N/A</v>
      </c>
      <c r="EV5" s="75" t="str">
        <f>IFERROR(IF(OR(EV4=الإستمارة!$C$12,EV4=الإستمارة!$C$13,EV4=الإستمارة!$C$14,EV4=الإستمارة!$C$15,EV4=الإستمارة!$C$16,EV4=الإستمارة!$C$17,EV4=الإستمارة!$C$18,EV4=الإستمارة!$C$19),VLOOKUP(EV4,الإستمارة!$C$12:$H$19,6,0),VLOOKUP(EV4,الإستمارة!$L$12:$P$19,6,0)),"")</f>
        <v/>
      </c>
      <c r="EW5" s="76" t="str">
        <f>IFERROR(VLOOKUP(EV4,'اختيار المقررات'!$AV$5:$AY$54,4,0),"")</f>
        <v/>
      </c>
      <c r="EX5" s="75" t="str">
        <f>IFERROR(IF(OR(EX4=الإستمارة!$C$12,EX4=الإستمارة!$C$13,EX4=الإستمارة!$C$14,EX4=الإستمارة!$C$15,EX4=الإستمارة!$C$16,EX4=الإستمارة!$C$17,EX4=الإستمارة!$C$18,EX4=الإستمارة!$C$19),VLOOKUP(EX4,الإستمارة!$C$12:$H$19,6,0),VLOOKUP(EX4,الإستمارة!$L$12:$P$19,6,0)),"")</f>
        <v/>
      </c>
      <c r="EY5" s="76" t="str">
        <f>IFERROR(VLOOKUP(EX4,'اختيار المقررات'!$AV$5:$AY$54,4,0),"")</f>
        <v/>
      </c>
      <c r="EZ5" s="75" t="str">
        <f>IFERROR(IF(OR(EZ4=الإستمارة!$C$12,EZ4=الإستمارة!$C$13,EZ4=الإستمارة!$C$14,EZ4=الإستمارة!$C$15,EZ4=الإستمارة!$C$16,EZ4=الإستمارة!$C$17,EZ4=الإستمارة!$C$18,EZ4=الإستمارة!$C$19),VLOOKUP(EZ4,الإستمارة!$C$12:$H$19,6,0),VLOOKUP(EZ4,الإستمارة!$L$12:$P$19,6,0)),"")</f>
        <v/>
      </c>
      <c r="FA5" s="76" t="str">
        <f>IFERROR(VLOOKUP(EZ4,'اختيار المقررات'!$AV$5:$AY$54,4,0),"")</f>
        <v/>
      </c>
      <c r="FB5" s="75" t="str">
        <f>IFERROR(IF(OR(FB4=الإستمارة!$C$12,FB4=الإستمارة!$C$13,FB4=الإستمارة!$C$14,FB4=الإستمارة!$C$15,FB4=الإستمارة!$C$16,FB4=الإستمارة!$C$17,FB4=الإستمارة!$C$18,FB4=الإستمارة!$C$19),VLOOKUP(FB4,الإستمارة!$C$12:$H$19,6,0),VLOOKUP(FB4,الإستمارة!$L$12:$P$19,6,0)),"")</f>
        <v/>
      </c>
      <c r="FC5" s="76" t="str">
        <f>IFERROR(VLOOKUP(FB4,'اختيار المقررات'!$AV$5:$AY$54,4,0),"")</f>
        <v/>
      </c>
      <c r="FD5" s="75" t="str">
        <f>IFERROR(IF(OR(FD4=الإستمارة!$C$12,FD4=الإستمارة!$C$13,FD4=الإستمارة!$C$14,FD4=الإستمارة!$C$15,FD4=الإستمارة!$C$16,FD4=الإستمارة!$C$17,FD4=الإستمارة!$C$18,FD4=الإستمارة!$C$19),VLOOKUP(FD4,الإستمارة!$C$12:$H$19,6,0),VLOOKUP(FD4,الإستمارة!$L$12:$P$19,6,0)),"")</f>
        <v/>
      </c>
      <c r="FE5" s="76" t="str">
        <f>IFERROR(VLOOKUP(FD4,'اختيار المقررات'!$AV$5:$AY$54,4,0),"")</f>
        <v/>
      </c>
      <c r="FF5" s="75" t="str">
        <f>IFERROR(IF(OR(FF4=الإستمارة!$C$12,FF4=الإستمارة!$C$13,FF4=الإستمارة!$C$14,FF4=الإستمارة!$C$15,FF4=الإستمارة!$C$16,FF4=الإستمارة!$C$17,FF4=الإستمارة!$C$18,FF4=الإستمارة!$C$19),VLOOKUP(FF4,الإستمارة!$C$12:$H$19,6,0),VLOOKUP(FF4,الإستمارة!$L$12:$P$19,6,0)),"")</f>
        <v/>
      </c>
      <c r="FG5" s="76" t="str">
        <f>IFERROR(VLOOKUP(FF4,'اختيار المقررات'!$AV$5:$AY$54,4,0),"")</f>
        <v/>
      </c>
      <c r="FH5" s="197">
        <f>'اختيار المقررات'!Q5</f>
        <v>0</v>
      </c>
      <c r="FI5" s="198">
        <f>'اختيار المقررات'!W5</f>
        <v>0</v>
      </c>
      <c r="FJ5" s="199">
        <f>'اختيار المقررات'!AB5</f>
        <v>0</v>
      </c>
      <c r="FK5" s="200">
        <f>'اختيار المقررات'!F5</f>
        <v>0</v>
      </c>
      <c r="FL5" s="201">
        <f>'اختيار المقررات'!W27</f>
        <v>0</v>
      </c>
      <c r="FM5" s="202">
        <f>'اختيار المقررات'!AD27</f>
        <v>37000</v>
      </c>
      <c r="FN5" s="202" t="e">
        <f>'اختيار المقررات'!N27</f>
        <v>#N/A</v>
      </c>
      <c r="FO5" s="202" t="e">
        <f>'اختيار المقررات'!N28</f>
        <v>#N/A</v>
      </c>
      <c r="FP5" s="203" t="e">
        <f>'اختيار المقررات'!W28</f>
        <v>#N/A</v>
      </c>
      <c r="FQ5" s="202" t="str">
        <f>'اختيار المقررات'!N29</f>
        <v>لا</v>
      </c>
      <c r="FR5" s="202" t="e">
        <f>'اختيار المقررات'!W29</f>
        <v>#N/A</v>
      </c>
      <c r="FS5" s="202" t="e">
        <f>'اختيار المقررات'!AD29</f>
        <v>#N/A</v>
      </c>
      <c r="FT5" s="197">
        <f>'اختيار المقررات'!V30</f>
        <v>0</v>
      </c>
      <c r="FU5" s="204">
        <f>'اختيار المقررات'!AB30</f>
        <v>0</v>
      </c>
      <c r="FV5" s="202">
        <f>'اختيار المقررات'!AG30</f>
        <v>0</v>
      </c>
      <c r="FW5" s="205">
        <f>SUM(FT5:FV5)</f>
        <v>0</v>
      </c>
      <c r="FX5" s="197">
        <f>'اختيار المقررات'!AB2</f>
        <v>0</v>
      </c>
      <c r="FY5" s="198">
        <f>'اختيار المقررات'!AB2</f>
        <v>0</v>
      </c>
      <c r="FZ5" s="198">
        <f>'اختيار المقررات'!Q2</f>
        <v>0</v>
      </c>
      <c r="GA5" s="205">
        <f>'اختيار المقررات'!H2</f>
        <v>0</v>
      </c>
      <c r="GB5" s="205" t="str">
        <f>'اختيار المقررات'!C28</f>
        <v/>
      </c>
      <c r="GC5" s="205" t="str">
        <f>'اختيار المقررات'!C29</f>
        <v/>
      </c>
      <c r="GD5" s="205" t="str">
        <f>'اختيار المقررات'!C30</f>
        <v/>
      </c>
      <c r="GE5" s="205" t="str">
        <f>'اختيار المقررات'!C31</f>
        <v/>
      </c>
      <c r="GF5" s="205">
        <f>'اختيار المقررات'!C34</f>
        <v>0</v>
      </c>
    </row>
  </sheetData>
  <sheetProtection algorithmName="SHA-512" hashValue="rWddtmR5tDmUMsgGrm4lj14AXNJ2Vqp2dgO+7um6Pe88KfuKBLTT7YmJc558kgsJ6gTWIXk7wCO7FNsUkuslNw==" saltValue="uhovpPbYt/lYPWC6/tIosw==" spinCount="100000" sheet="1" objects="1" scenarios="1"/>
  <mergeCells count="194">
    <mergeCell ref="FT1:FW2"/>
    <mergeCell ref="FD4:FE4"/>
    <mergeCell ref="FF4:FG4"/>
    <mergeCell ref="EJ4:EK4"/>
    <mergeCell ref="ET4:EU4"/>
    <mergeCell ref="GB3:GF4"/>
    <mergeCell ref="FB4:FC4"/>
    <mergeCell ref="EZ4:FA4"/>
    <mergeCell ref="DJ4:DK4"/>
    <mergeCell ref="EH4:EI4"/>
    <mergeCell ref="EX4:EY4"/>
    <mergeCell ref="EL4:EM4"/>
    <mergeCell ref="EN4:EO4"/>
    <mergeCell ref="EP4:EQ4"/>
    <mergeCell ref="ER4:ES4"/>
    <mergeCell ref="EV4:EW4"/>
    <mergeCell ref="DV4:DW4"/>
    <mergeCell ref="DL4:DM4"/>
    <mergeCell ref="DN4:DO4"/>
    <mergeCell ref="DR4:DS4"/>
    <mergeCell ref="EF4:EG4"/>
    <mergeCell ref="FX1:GA2"/>
    <mergeCell ref="FH3:FH4"/>
    <mergeCell ref="FI3:FI4"/>
    <mergeCell ref="DH4:DI4"/>
    <mergeCell ref="DT4:DU4"/>
    <mergeCell ref="CD4:CE4"/>
    <mergeCell ref="CL4:CM4"/>
    <mergeCell ref="DX4:DY4"/>
    <mergeCell ref="CF4:CG4"/>
    <mergeCell ref="DD4:DE4"/>
    <mergeCell ref="ED4:EE4"/>
    <mergeCell ref="CV4:CW4"/>
    <mergeCell ref="DB4:DC4"/>
    <mergeCell ref="CX4:CY4"/>
    <mergeCell ref="DF4:DG4"/>
    <mergeCell ref="CP4:CQ4"/>
    <mergeCell ref="CR4:CS4"/>
    <mergeCell ref="CZ4:DA4"/>
    <mergeCell ref="CT4:CU4"/>
    <mergeCell ref="CJ4:CK4"/>
    <mergeCell ref="L1:L4"/>
    <mergeCell ref="AH4:AI4"/>
    <mergeCell ref="AJ4:AK4"/>
    <mergeCell ref="Q3:Q4"/>
    <mergeCell ref="M1:M4"/>
    <mergeCell ref="N1:N4"/>
    <mergeCell ref="O1:O4"/>
    <mergeCell ref="AL4:AM4"/>
    <mergeCell ref="DP4:DQ4"/>
    <mergeCell ref="BZ2:CI2"/>
    <mergeCell ref="CN2:CW2"/>
    <mergeCell ref="CB4:CC4"/>
    <mergeCell ref="CZ2:DI2"/>
    <mergeCell ref="CF3:CG3"/>
    <mergeCell ref="AN4:AO4"/>
    <mergeCell ref="BL4:BM4"/>
    <mergeCell ref="CH4:CI4"/>
    <mergeCell ref="CN4:CO4"/>
    <mergeCell ref="R3:R4"/>
    <mergeCell ref="BR4:BS4"/>
    <mergeCell ref="BZ4:CA4"/>
    <mergeCell ref="CZ1:FC1"/>
    <mergeCell ref="BZ1:CY1"/>
    <mergeCell ref="DL2:DU2"/>
    <mergeCell ref="A1:A2"/>
    <mergeCell ref="BH4:BI4"/>
    <mergeCell ref="BJ4:BK4"/>
    <mergeCell ref="AP4:AQ4"/>
    <mergeCell ref="BP4:BQ4"/>
    <mergeCell ref="BT4:BU4"/>
    <mergeCell ref="BV4:BW4"/>
    <mergeCell ref="AR2:BK2"/>
    <mergeCell ref="BN2:BW2"/>
    <mergeCell ref="C1:J2"/>
    <mergeCell ref="B1:B2"/>
    <mergeCell ref="AR1:BY1"/>
    <mergeCell ref="P1:R2"/>
    <mergeCell ref="P3:P4"/>
    <mergeCell ref="S1:S4"/>
    <mergeCell ref="T4:U4"/>
    <mergeCell ref="V4:W4"/>
    <mergeCell ref="X4:Y4"/>
    <mergeCell ref="T1:AQ1"/>
    <mergeCell ref="Z4:AA4"/>
    <mergeCell ref="AB4:AC4"/>
    <mergeCell ref="AD4:AE4"/>
    <mergeCell ref="AF4:AG4"/>
    <mergeCell ref="K1:K4"/>
    <mergeCell ref="T2:AG2"/>
    <mergeCell ref="DZ4:EA4"/>
    <mergeCell ref="EB4:EC4"/>
    <mergeCell ref="BX4:BY4"/>
    <mergeCell ref="BN4:BO4"/>
    <mergeCell ref="AR4:AS4"/>
    <mergeCell ref="BD4:BE4"/>
    <mergeCell ref="BF4:BG4"/>
    <mergeCell ref="AT4:AU4"/>
    <mergeCell ref="AV4:AW4"/>
    <mergeCell ref="AX4:AY4"/>
    <mergeCell ref="AZ4:BA4"/>
    <mergeCell ref="BB4:BC4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FJ3:FJ4"/>
    <mergeCell ref="FO3:FO4"/>
    <mergeCell ref="FU3:FU4"/>
    <mergeCell ref="FW3:FW4"/>
    <mergeCell ref="FX3:FX4"/>
    <mergeCell ref="FY3:FY4"/>
    <mergeCell ref="FZ3:FZ4"/>
    <mergeCell ref="GA3:GA4"/>
    <mergeCell ref="FM3:FM4"/>
    <mergeCell ref="FQ3:FQ4"/>
    <mergeCell ref="FR3:FR4"/>
    <mergeCell ref="FS3:FS4"/>
    <mergeCell ref="FT3:FT4"/>
    <mergeCell ref="FV3:FV4"/>
    <mergeCell ref="FK3:FK4"/>
    <mergeCell ref="FN3:FN4"/>
    <mergeCell ref="FL3:FL4"/>
    <mergeCell ref="FP3:FP4"/>
    <mergeCell ref="FH1:FJ2"/>
    <mergeCell ref="FK1:FK2"/>
    <mergeCell ref="FL1:FS2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FB3:FC3"/>
    <mergeCell ref="FD3:FE3"/>
    <mergeCell ref="FF3:FG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</mergeCells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BB77"/>
  <sheetViews>
    <sheetView rightToLeft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" defaultRowHeight="13.8" x14ac:dyDescent="0.25"/>
  <cols>
    <col min="1" max="1" width="12.3984375" style="152" customWidth="1"/>
    <col min="2" max="16384" width="9" style="152"/>
  </cols>
  <sheetData>
    <row r="1" spans="1:54" x14ac:dyDescent="0.25">
      <c r="A1" s="152" t="s">
        <v>223</v>
      </c>
      <c r="C1" s="152">
        <v>41</v>
      </c>
      <c r="D1" s="152">
        <v>42</v>
      </c>
      <c r="E1" s="152">
        <v>43</v>
      </c>
      <c r="F1" s="152">
        <v>44</v>
      </c>
      <c r="G1" s="152">
        <v>45</v>
      </c>
      <c r="H1" s="152">
        <v>46</v>
      </c>
      <c r="I1" s="152">
        <v>101</v>
      </c>
      <c r="J1" s="152">
        <v>47</v>
      </c>
      <c r="K1" s="152">
        <v>48</v>
      </c>
      <c r="L1" s="152">
        <v>49</v>
      </c>
      <c r="M1" s="152">
        <v>50</v>
      </c>
      <c r="N1" s="152">
        <v>51</v>
      </c>
      <c r="O1" s="152">
        <v>141</v>
      </c>
      <c r="P1" s="152">
        <v>52</v>
      </c>
      <c r="Q1" s="152">
        <v>53</v>
      </c>
      <c r="R1" s="152">
        <v>54</v>
      </c>
      <c r="S1" s="152">
        <v>55</v>
      </c>
      <c r="T1" s="152">
        <v>56</v>
      </c>
      <c r="U1" s="152">
        <v>57</v>
      </c>
      <c r="V1" s="152">
        <v>201</v>
      </c>
      <c r="W1" s="152">
        <v>58</v>
      </c>
      <c r="X1" s="152">
        <v>59</v>
      </c>
      <c r="Y1" s="152">
        <v>60</v>
      </c>
      <c r="Z1" s="152">
        <v>61</v>
      </c>
      <c r="AA1" s="152">
        <v>62</v>
      </c>
      <c r="AB1" s="152">
        <v>149</v>
      </c>
      <c r="AC1" s="152">
        <v>63</v>
      </c>
      <c r="AD1" s="152">
        <v>64</v>
      </c>
      <c r="AE1" s="152">
        <v>65</v>
      </c>
      <c r="AF1" s="152">
        <v>66</v>
      </c>
      <c r="AG1" s="152">
        <v>67</v>
      </c>
      <c r="AH1" s="152">
        <v>68</v>
      </c>
      <c r="AI1" s="152">
        <v>69</v>
      </c>
      <c r="AJ1" s="152">
        <v>70</v>
      </c>
      <c r="AK1" s="152">
        <v>71</v>
      </c>
      <c r="AL1" s="152">
        <v>72</v>
      </c>
      <c r="AM1" s="152">
        <v>73</v>
      </c>
      <c r="AN1" s="152">
        <v>157</v>
      </c>
      <c r="AO1" s="152">
        <v>74</v>
      </c>
      <c r="AP1" s="152">
        <v>75</v>
      </c>
      <c r="AQ1" s="152">
        <v>76</v>
      </c>
      <c r="AR1" s="152">
        <v>77</v>
      </c>
      <c r="AS1" s="152">
        <v>78</v>
      </c>
      <c r="AT1" s="152">
        <v>79</v>
      </c>
      <c r="AU1" s="152">
        <v>80</v>
      </c>
      <c r="AV1" s="152">
        <v>81</v>
      </c>
      <c r="AW1" s="152">
        <v>82</v>
      </c>
      <c r="AX1" s="152">
        <v>83</v>
      </c>
      <c r="AY1" s="152">
        <v>84</v>
      </c>
      <c r="AZ1" s="152">
        <v>169</v>
      </c>
    </row>
    <row r="2" spans="1:54" x14ac:dyDescent="0.25">
      <c r="A2" s="152">
        <v>340136</v>
      </c>
      <c r="B2" s="152" t="s">
        <v>247</v>
      </c>
      <c r="C2" s="152" t="s">
        <v>224</v>
      </c>
      <c r="D2" s="152" t="s">
        <v>224</v>
      </c>
      <c r="E2" s="152" t="s">
        <v>224</v>
      </c>
      <c r="F2" s="152" t="s">
        <v>224</v>
      </c>
      <c r="G2" s="152" t="s">
        <v>224</v>
      </c>
      <c r="H2" s="152" t="s">
        <v>224</v>
      </c>
      <c r="I2" s="152" t="s">
        <v>224</v>
      </c>
      <c r="J2" s="152" t="s">
        <v>224</v>
      </c>
      <c r="K2" s="152" t="s">
        <v>224</v>
      </c>
      <c r="L2" s="152" t="s">
        <v>224</v>
      </c>
      <c r="M2" s="152" t="s">
        <v>224</v>
      </c>
      <c r="N2" s="152" t="s">
        <v>224</v>
      </c>
      <c r="O2" s="152" t="s">
        <v>224</v>
      </c>
      <c r="P2" s="152" t="s">
        <v>224</v>
      </c>
      <c r="Q2" s="152" t="s">
        <v>224</v>
      </c>
      <c r="R2" s="152" t="s">
        <v>224</v>
      </c>
      <c r="S2" s="152" t="s">
        <v>224</v>
      </c>
      <c r="T2" s="152" t="s">
        <v>224</v>
      </c>
      <c r="U2" s="152" t="s">
        <v>224</v>
      </c>
      <c r="V2" s="152" t="s">
        <v>224</v>
      </c>
    </row>
    <row r="3" spans="1:54" x14ac:dyDescent="0.25">
      <c r="A3" s="152">
        <v>340137</v>
      </c>
      <c r="B3" s="152" t="s">
        <v>237</v>
      </c>
      <c r="C3" s="152" t="s">
        <v>224</v>
      </c>
      <c r="D3" s="152" t="s">
        <v>224</v>
      </c>
      <c r="E3" s="152" t="s">
        <v>224</v>
      </c>
      <c r="F3" s="152" t="s">
        <v>224</v>
      </c>
      <c r="G3" s="152" t="s">
        <v>224</v>
      </c>
      <c r="H3" s="152" t="s">
        <v>224</v>
      </c>
      <c r="I3" s="152" t="s">
        <v>224</v>
      </c>
      <c r="J3" s="152" t="s">
        <v>224</v>
      </c>
      <c r="K3" s="152" t="s">
        <v>224</v>
      </c>
      <c r="L3" s="152" t="s">
        <v>224</v>
      </c>
      <c r="M3" s="152" t="s">
        <v>224</v>
      </c>
      <c r="N3" s="152" t="s">
        <v>224</v>
      </c>
      <c r="O3" s="152" t="s">
        <v>224</v>
      </c>
    </row>
    <row r="4" spans="1:54" x14ac:dyDescent="0.25">
      <c r="A4" s="152">
        <v>340138</v>
      </c>
      <c r="B4" s="152" t="s">
        <v>237</v>
      </c>
      <c r="C4" s="152" t="s">
        <v>224</v>
      </c>
      <c r="D4" s="152" t="s">
        <v>224</v>
      </c>
      <c r="E4" s="152" t="s">
        <v>224</v>
      </c>
      <c r="F4" s="152" t="s">
        <v>224</v>
      </c>
      <c r="G4" s="152" t="s">
        <v>224</v>
      </c>
      <c r="H4" s="152" t="s">
        <v>224</v>
      </c>
      <c r="I4" s="152" t="s">
        <v>224</v>
      </c>
      <c r="J4" s="152" t="s">
        <v>224</v>
      </c>
      <c r="K4" s="152" t="s">
        <v>224</v>
      </c>
      <c r="L4" s="152" t="s">
        <v>224</v>
      </c>
      <c r="M4" s="152" t="s">
        <v>224</v>
      </c>
      <c r="N4" s="152" t="s">
        <v>224</v>
      </c>
      <c r="O4" s="152" t="s">
        <v>224</v>
      </c>
    </row>
    <row r="5" spans="1:54" x14ac:dyDescent="0.25">
      <c r="A5" s="152">
        <v>340139</v>
      </c>
      <c r="B5" s="152" t="s">
        <v>247</v>
      </c>
      <c r="C5" s="152" t="s">
        <v>224</v>
      </c>
      <c r="D5" s="152" t="s">
        <v>224</v>
      </c>
      <c r="E5" s="152" t="s">
        <v>224</v>
      </c>
      <c r="F5" s="152" t="s">
        <v>224</v>
      </c>
      <c r="G5" s="152" t="s">
        <v>224</v>
      </c>
      <c r="H5" s="152" t="s">
        <v>224</v>
      </c>
      <c r="I5" s="152" t="s">
        <v>224</v>
      </c>
      <c r="J5" s="152" t="s">
        <v>224</v>
      </c>
      <c r="K5" s="152" t="s">
        <v>224</v>
      </c>
      <c r="L5" s="152" t="s">
        <v>224</v>
      </c>
      <c r="M5" s="152" t="s">
        <v>224</v>
      </c>
      <c r="N5" s="152" t="s">
        <v>224</v>
      </c>
      <c r="O5" s="152" t="s">
        <v>224</v>
      </c>
      <c r="P5" s="152" t="s">
        <v>224</v>
      </c>
      <c r="Q5" s="152" t="s">
        <v>224</v>
      </c>
      <c r="R5" s="152" t="s">
        <v>224</v>
      </c>
      <c r="S5" s="152" t="s">
        <v>224</v>
      </c>
      <c r="T5" s="152" t="s">
        <v>224</v>
      </c>
      <c r="U5" s="152" t="s">
        <v>224</v>
      </c>
      <c r="V5" s="152" t="s">
        <v>224</v>
      </c>
    </row>
    <row r="6" spans="1:54" x14ac:dyDescent="0.25">
      <c r="A6" s="152">
        <v>340140</v>
      </c>
      <c r="B6" s="152" t="s">
        <v>244</v>
      </c>
      <c r="C6" s="152" t="s">
        <v>224</v>
      </c>
      <c r="D6" s="152" t="s">
        <v>224</v>
      </c>
      <c r="E6" s="152" t="s">
        <v>224</v>
      </c>
      <c r="F6" s="152" t="s">
        <v>224</v>
      </c>
      <c r="G6" s="152" t="s">
        <v>224</v>
      </c>
      <c r="H6" s="152" t="s">
        <v>224</v>
      </c>
      <c r="I6" s="152" t="s">
        <v>224</v>
      </c>
      <c r="J6" s="152" t="s">
        <v>224</v>
      </c>
      <c r="K6" s="152" t="s">
        <v>224</v>
      </c>
      <c r="L6" s="152" t="s">
        <v>224</v>
      </c>
      <c r="M6" s="152" t="s">
        <v>224</v>
      </c>
      <c r="N6" s="152" t="s">
        <v>224</v>
      </c>
      <c r="O6" s="152" t="s">
        <v>224</v>
      </c>
      <c r="P6" s="152" t="s">
        <v>224</v>
      </c>
      <c r="Q6" s="152" t="s">
        <v>224</v>
      </c>
      <c r="R6" s="152" t="s">
        <v>224</v>
      </c>
      <c r="S6" s="152" t="s">
        <v>224</v>
      </c>
      <c r="T6" s="152" t="s">
        <v>224</v>
      </c>
      <c r="U6" s="152" t="s">
        <v>224</v>
      </c>
      <c r="V6" s="152" t="s">
        <v>224</v>
      </c>
      <c r="W6" s="152" t="s">
        <v>224</v>
      </c>
      <c r="X6" s="152" t="s">
        <v>224</v>
      </c>
      <c r="Y6" s="152" t="s">
        <v>224</v>
      </c>
      <c r="Z6" s="152" t="s">
        <v>224</v>
      </c>
      <c r="AA6" s="152" t="s">
        <v>224</v>
      </c>
      <c r="AB6" s="152" t="s">
        <v>224</v>
      </c>
    </row>
    <row r="7" spans="1:54" x14ac:dyDescent="0.25">
      <c r="A7" s="152">
        <v>340141</v>
      </c>
      <c r="B7" s="152" t="s">
        <v>244</v>
      </c>
      <c r="C7" s="152" t="s">
        <v>321</v>
      </c>
      <c r="D7" s="152" t="s">
        <v>321</v>
      </c>
      <c r="E7" s="152" t="s">
        <v>321</v>
      </c>
      <c r="F7" s="152" t="s">
        <v>321</v>
      </c>
      <c r="G7" s="152" t="s">
        <v>321</v>
      </c>
      <c r="H7" s="152" t="s">
        <v>321</v>
      </c>
      <c r="I7" s="152" t="s">
        <v>321</v>
      </c>
      <c r="J7" s="152" t="s">
        <v>321</v>
      </c>
      <c r="K7" s="152" t="s">
        <v>321</v>
      </c>
      <c r="L7" s="152" t="s">
        <v>321</v>
      </c>
      <c r="M7" s="152" t="s">
        <v>321</v>
      </c>
      <c r="N7" s="152" t="s">
        <v>321</v>
      </c>
      <c r="O7" s="152" t="s">
        <v>321</v>
      </c>
      <c r="P7" s="152" t="s">
        <v>321</v>
      </c>
      <c r="Q7" s="152" t="s">
        <v>321</v>
      </c>
      <c r="R7" s="152" t="s">
        <v>321</v>
      </c>
      <c r="S7" s="152" t="s">
        <v>321</v>
      </c>
      <c r="T7" s="152" t="s">
        <v>321</v>
      </c>
      <c r="U7" s="152" t="s">
        <v>321</v>
      </c>
      <c r="V7" s="152" t="s">
        <v>321</v>
      </c>
      <c r="W7" s="152" t="s">
        <v>321</v>
      </c>
      <c r="X7" s="152" t="s">
        <v>321</v>
      </c>
      <c r="Y7" s="152" t="s">
        <v>321</v>
      </c>
      <c r="Z7" s="152" t="s">
        <v>321</v>
      </c>
      <c r="AA7" s="152" t="s">
        <v>321</v>
      </c>
      <c r="AB7" s="152" t="s">
        <v>321</v>
      </c>
      <c r="BB7" s="152" t="s">
        <v>298</v>
      </c>
    </row>
    <row r="8" spans="1:54" x14ac:dyDescent="0.25">
      <c r="A8" s="152">
        <v>340142</v>
      </c>
      <c r="B8" s="152" t="s">
        <v>244</v>
      </c>
      <c r="C8" s="152" t="s">
        <v>224</v>
      </c>
      <c r="D8" s="152" t="s">
        <v>224</v>
      </c>
      <c r="E8" s="152" t="s">
        <v>224</v>
      </c>
      <c r="F8" s="152" t="s">
        <v>224</v>
      </c>
      <c r="G8" s="152" t="s">
        <v>224</v>
      </c>
      <c r="H8" s="152" t="s">
        <v>224</v>
      </c>
      <c r="I8" s="152" t="s">
        <v>224</v>
      </c>
      <c r="J8" s="152" t="s">
        <v>224</v>
      </c>
      <c r="K8" s="152" t="s">
        <v>224</v>
      </c>
      <c r="L8" s="152" t="s">
        <v>224</v>
      </c>
      <c r="M8" s="152" t="s">
        <v>224</v>
      </c>
      <c r="N8" s="152" t="s">
        <v>224</v>
      </c>
      <c r="O8" s="152" t="s">
        <v>224</v>
      </c>
      <c r="P8" s="152" t="s">
        <v>224</v>
      </c>
      <c r="Q8" s="152" t="s">
        <v>224</v>
      </c>
      <c r="R8" s="152" t="s">
        <v>224</v>
      </c>
      <c r="S8" s="152" t="s">
        <v>224</v>
      </c>
      <c r="T8" s="152" t="s">
        <v>224</v>
      </c>
      <c r="U8" s="152" t="s">
        <v>224</v>
      </c>
      <c r="V8" s="152" t="s">
        <v>224</v>
      </c>
      <c r="W8" s="152" t="s">
        <v>224</v>
      </c>
      <c r="X8" s="152" t="s">
        <v>224</v>
      </c>
      <c r="Y8" s="152" t="s">
        <v>224</v>
      </c>
      <c r="Z8" s="152" t="s">
        <v>224</v>
      </c>
      <c r="AA8" s="152" t="s">
        <v>224</v>
      </c>
      <c r="AB8" s="152" t="s">
        <v>224</v>
      </c>
    </row>
    <row r="9" spans="1:54" x14ac:dyDescent="0.25">
      <c r="A9" s="152">
        <v>340143</v>
      </c>
      <c r="B9" s="152" t="s">
        <v>247</v>
      </c>
      <c r="C9" s="152" t="s">
        <v>224</v>
      </c>
      <c r="D9" s="152" t="s">
        <v>224</v>
      </c>
      <c r="E9" s="152" t="s">
        <v>224</v>
      </c>
      <c r="F9" s="152" t="s">
        <v>224</v>
      </c>
      <c r="G9" s="152" t="s">
        <v>224</v>
      </c>
      <c r="H9" s="152" t="s">
        <v>224</v>
      </c>
      <c r="I9" s="152" t="s">
        <v>224</v>
      </c>
      <c r="J9" s="152" t="s">
        <v>224</v>
      </c>
      <c r="K9" s="152" t="s">
        <v>224</v>
      </c>
      <c r="L9" s="152" t="s">
        <v>224</v>
      </c>
      <c r="M9" s="152" t="s">
        <v>224</v>
      </c>
      <c r="N9" s="152" t="s">
        <v>224</v>
      </c>
      <c r="O9" s="152" t="s">
        <v>224</v>
      </c>
      <c r="P9" s="152" t="s">
        <v>224</v>
      </c>
      <c r="Q9" s="152" t="s">
        <v>224</v>
      </c>
      <c r="R9" s="152" t="s">
        <v>224</v>
      </c>
      <c r="S9" s="152" t="s">
        <v>224</v>
      </c>
      <c r="T9" s="152" t="s">
        <v>224</v>
      </c>
      <c r="U9" s="152" t="s">
        <v>224</v>
      </c>
      <c r="V9" s="152" t="s">
        <v>224</v>
      </c>
    </row>
    <row r="10" spans="1:54" x14ac:dyDescent="0.25">
      <c r="A10" s="152">
        <v>340144</v>
      </c>
      <c r="B10" s="152" t="s">
        <v>504</v>
      </c>
      <c r="C10" s="152" t="s">
        <v>224</v>
      </c>
      <c r="D10" s="152" t="s">
        <v>224</v>
      </c>
      <c r="E10" s="152" t="s">
        <v>224</v>
      </c>
      <c r="F10" s="152" t="s">
        <v>224</v>
      </c>
      <c r="G10" s="152" t="s">
        <v>224</v>
      </c>
      <c r="H10" s="152" t="s">
        <v>224</v>
      </c>
      <c r="I10" s="152" t="s">
        <v>224</v>
      </c>
      <c r="J10" s="152" t="s">
        <v>224</v>
      </c>
      <c r="K10" s="152" t="s">
        <v>224</v>
      </c>
      <c r="L10" s="152" t="s">
        <v>224</v>
      </c>
      <c r="M10" s="152" t="s">
        <v>224</v>
      </c>
      <c r="N10" s="152" t="s">
        <v>224</v>
      </c>
      <c r="O10" s="152" t="s">
        <v>224</v>
      </c>
    </row>
    <row r="11" spans="1:54" x14ac:dyDescent="0.25">
      <c r="A11" s="152">
        <v>340145</v>
      </c>
      <c r="B11" s="152" t="s">
        <v>237</v>
      </c>
      <c r="C11" s="152" t="s">
        <v>224</v>
      </c>
      <c r="D11" s="152" t="s">
        <v>224</v>
      </c>
      <c r="E11" s="152" t="s">
        <v>224</v>
      </c>
      <c r="F11" s="152" t="s">
        <v>224</v>
      </c>
      <c r="G11" s="152" t="s">
        <v>224</v>
      </c>
      <c r="H11" s="152" t="s">
        <v>224</v>
      </c>
      <c r="I11" s="152" t="s">
        <v>224</v>
      </c>
      <c r="J11" s="152" t="s">
        <v>224</v>
      </c>
      <c r="K11" s="152" t="s">
        <v>224</v>
      </c>
      <c r="L11" s="152" t="s">
        <v>224</v>
      </c>
      <c r="M11" s="152" t="s">
        <v>224</v>
      </c>
      <c r="N11" s="152" t="s">
        <v>224</v>
      </c>
      <c r="O11" s="152" t="s">
        <v>224</v>
      </c>
    </row>
    <row r="12" spans="1:54" x14ac:dyDescent="0.25">
      <c r="A12" s="152">
        <v>340146</v>
      </c>
      <c r="B12" s="152" t="s">
        <v>237</v>
      </c>
      <c r="C12" s="152" t="s">
        <v>224</v>
      </c>
      <c r="D12" s="152" t="s">
        <v>224</v>
      </c>
      <c r="E12" s="152" t="s">
        <v>224</v>
      </c>
      <c r="F12" s="152" t="s">
        <v>224</v>
      </c>
      <c r="G12" s="152" t="s">
        <v>224</v>
      </c>
      <c r="H12" s="152" t="s">
        <v>224</v>
      </c>
      <c r="I12" s="152" t="s">
        <v>224</v>
      </c>
      <c r="J12" s="152" t="s">
        <v>224</v>
      </c>
      <c r="K12" s="152" t="s">
        <v>224</v>
      </c>
      <c r="L12" s="152" t="s">
        <v>224</v>
      </c>
      <c r="M12" s="152" t="s">
        <v>224</v>
      </c>
      <c r="N12" s="152" t="s">
        <v>224</v>
      </c>
      <c r="O12" s="152" t="s">
        <v>224</v>
      </c>
    </row>
    <row r="13" spans="1:54" x14ac:dyDescent="0.25">
      <c r="A13" s="152">
        <v>340147</v>
      </c>
      <c r="B13" s="152" t="s">
        <v>237</v>
      </c>
      <c r="C13" s="152" t="s">
        <v>224</v>
      </c>
      <c r="D13" s="152" t="s">
        <v>224</v>
      </c>
      <c r="E13" s="152" t="s">
        <v>224</v>
      </c>
      <c r="F13" s="152" t="s">
        <v>224</v>
      </c>
      <c r="G13" s="152" t="s">
        <v>224</v>
      </c>
      <c r="H13" s="152" t="s">
        <v>224</v>
      </c>
      <c r="I13" s="152" t="s">
        <v>224</v>
      </c>
      <c r="J13" s="152" t="s">
        <v>224</v>
      </c>
      <c r="K13" s="152" t="s">
        <v>224</v>
      </c>
      <c r="L13" s="152" t="s">
        <v>224</v>
      </c>
      <c r="M13" s="152" t="s">
        <v>224</v>
      </c>
      <c r="N13" s="152" t="s">
        <v>224</v>
      </c>
      <c r="O13" s="152" t="s">
        <v>224</v>
      </c>
    </row>
    <row r="14" spans="1:54" x14ac:dyDescent="0.25">
      <c r="A14" s="152">
        <v>340148</v>
      </c>
      <c r="B14" s="152" t="s">
        <v>237</v>
      </c>
      <c r="C14" s="152" t="s">
        <v>224</v>
      </c>
      <c r="D14" s="152" t="s">
        <v>224</v>
      </c>
      <c r="E14" s="152" t="s">
        <v>224</v>
      </c>
      <c r="F14" s="152" t="s">
        <v>224</v>
      </c>
      <c r="G14" s="152" t="s">
        <v>224</v>
      </c>
      <c r="H14" s="152" t="s">
        <v>224</v>
      </c>
      <c r="I14" s="152" t="s">
        <v>224</v>
      </c>
      <c r="J14" s="152" t="s">
        <v>224</v>
      </c>
      <c r="K14" s="152" t="s">
        <v>224</v>
      </c>
      <c r="L14" s="152" t="s">
        <v>224</v>
      </c>
      <c r="M14" s="152" t="s">
        <v>224</v>
      </c>
      <c r="N14" s="152" t="s">
        <v>224</v>
      </c>
      <c r="O14" s="152" t="s">
        <v>224</v>
      </c>
    </row>
    <row r="15" spans="1:54" x14ac:dyDescent="0.25">
      <c r="A15" s="152">
        <v>340149</v>
      </c>
      <c r="B15" s="152" t="s">
        <v>252</v>
      </c>
      <c r="C15" s="152" t="s">
        <v>321</v>
      </c>
      <c r="D15" s="152" t="s">
        <v>321</v>
      </c>
      <c r="E15" s="152" t="s">
        <v>321</v>
      </c>
      <c r="F15" s="152" t="s">
        <v>321</v>
      </c>
      <c r="G15" s="152" t="s">
        <v>321</v>
      </c>
      <c r="H15" s="152" t="s">
        <v>321</v>
      </c>
      <c r="I15" s="152" t="s">
        <v>321</v>
      </c>
      <c r="J15" s="152" t="s">
        <v>321</v>
      </c>
      <c r="K15" s="152" t="s">
        <v>321</v>
      </c>
      <c r="L15" s="152" t="s">
        <v>321</v>
      </c>
      <c r="M15" s="152" t="s">
        <v>321</v>
      </c>
      <c r="N15" s="152" t="s">
        <v>321</v>
      </c>
      <c r="O15" s="152" t="s">
        <v>321</v>
      </c>
      <c r="P15" s="152" t="s">
        <v>321</v>
      </c>
      <c r="Q15" s="152" t="s">
        <v>321</v>
      </c>
      <c r="R15" s="152" t="s">
        <v>321</v>
      </c>
      <c r="S15" s="152" t="s">
        <v>321</v>
      </c>
      <c r="T15" s="152" t="s">
        <v>321</v>
      </c>
      <c r="U15" s="152" t="s">
        <v>321</v>
      </c>
      <c r="V15" s="152" t="s">
        <v>321</v>
      </c>
      <c r="W15" s="152" t="s">
        <v>321</v>
      </c>
      <c r="X15" s="152" t="s">
        <v>321</v>
      </c>
      <c r="Y15" s="152" t="s">
        <v>321</v>
      </c>
      <c r="Z15" s="152" t="s">
        <v>321</v>
      </c>
      <c r="AA15" s="152" t="s">
        <v>321</v>
      </c>
      <c r="AB15" s="152" t="s">
        <v>321</v>
      </c>
      <c r="AC15" s="152" t="s">
        <v>321</v>
      </c>
      <c r="AD15" s="152" t="s">
        <v>321</v>
      </c>
      <c r="AE15" s="152" t="s">
        <v>321</v>
      </c>
      <c r="AF15" s="152" t="s">
        <v>321</v>
      </c>
      <c r="AG15" s="152" t="s">
        <v>321</v>
      </c>
      <c r="AH15" s="152" t="s">
        <v>321</v>
      </c>
      <c r="AI15" s="152" t="s">
        <v>321</v>
      </c>
      <c r="AJ15" s="152" t="s">
        <v>321</v>
      </c>
      <c r="AK15" s="152" t="s">
        <v>321</v>
      </c>
      <c r="AL15" s="152" t="s">
        <v>321</v>
      </c>
      <c r="AM15" s="152" t="s">
        <v>321</v>
      </c>
      <c r="AN15" s="152" t="s">
        <v>321</v>
      </c>
      <c r="BB15" s="152" t="s">
        <v>298</v>
      </c>
    </row>
    <row r="16" spans="1:54" x14ac:dyDescent="0.25">
      <c r="A16" s="152">
        <v>340150</v>
      </c>
      <c r="B16" s="152" t="s">
        <v>247</v>
      </c>
      <c r="C16" s="152" t="s">
        <v>224</v>
      </c>
      <c r="D16" s="152" t="s">
        <v>224</v>
      </c>
      <c r="E16" s="152" t="s">
        <v>224</v>
      </c>
      <c r="F16" s="152" t="s">
        <v>224</v>
      </c>
      <c r="G16" s="152" t="s">
        <v>224</v>
      </c>
      <c r="H16" s="152" t="s">
        <v>224</v>
      </c>
      <c r="I16" s="152" t="s">
        <v>224</v>
      </c>
      <c r="J16" s="152" t="s">
        <v>224</v>
      </c>
      <c r="K16" s="152" t="s">
        <v>224</v>
      </c>
      <c r="L16" s="152" t="s">
        <v>224</v>
      </c>
      <c r="M16" s="152" t="s">
        <v>224</v>
      </c>
      <c r="N16" s="152" t="s">
        <v>224</v>
      </c>
      <c r="O16" s="152" t="s">
        <v>224</v>
      </c>
      <c r="P16" s="152" t="s">
        <v>224</v>
      </c>
      <c r="Q16" s="152" t="s">
        <v>224</v>
      </c>
      <c r="R16" s="152" t="s">
        <v>224</v>
      </c>
      <c r="S16" s="152" t="s">
        <v>224</v>
      </c>
      <c r="T16" s="152" t="s">
        <v>224</v>
      </c>
      <c r="U16" s="152" t="s">
        <v>224</v>
      </c>
      <c r="V16" s="152" t="s">
        <v>224</v>
      </c>
    </row>
    <row r="17" spans="1:54" x14ac:dyDescent="0.25">
      <c r="A17" s="152">
        <v>340151</v>
      </c>
      <c r="B17" s="152" t="s">
        <v>244</v>
      </c>
      <c r="C17" s="152" t="s">
        <v>224</v>
      </c>
      <c r="D17" s="152" t="s">
        <v>224</v>
      </c>
      <c r="E17" s="152" t="s">
        <v>224</v>
      </c>
      <c r="F17" s="152" t="s">
        <v>224</v>
      </c>
      <c r="G17" s="152" t="s">
        <v>224</v>
      </c>
      <c r="H17" s="152" t="s">
        <v>224</v>
      </c>
      <c r="I17" s="152" t="s">
        <v>224</v>
      </c>
      <c r="J17" s="152" t="s">
        <v>224</v>
      </c>
      <c r="K17" s="152" t="s">
        <v>224</v>
      </c>
      <c r="L17" s="152" t="s">
        <v>224</v>
      </c>
      <c r="M17" s="152" t="s">
        <v>224</v>
      </c>
      <c r="N17" s="152" t="s">
        <v>224</v>
      </c>
      <c r="O17" s="152" t="s">
        <v>224</v>
      </c>
      <c r="P17" s="152" t="s">
        <v>224</v>
      </c>
      <c r="Q17" s="152" t="s">
        <v>224</v>
      </c>
      <c r="R17" s="152" t="s">
        <v>224</v>
      </c>
      <c r="S17" s="152" t="s">
        <v>224</v>
      </c>
      <c r="T17" s="152" t="s">
        <v>224</v>
      </c>
      <c r="U17" s="152" t="s">
        <v>224</v>
      </c>
      <c r="V17" s="152" t="s">
        <v>224</v>
      </c>
      <c r="W17" s="152" t="s">
        <v>224</v>
      </c>
      <c r="X17" s="152" t="s">
        <v>224</v>
      </c>
      <c r="Y17" s="152" t="s">
        <v>224</v>
      </c>
      <c r="Z17" s="152" t="s">
        <v>224</v>
      </c>
      <c r="AA17" s="152" t="s">
        <v>224</v>
      </c>
      <c r="AB17" s="152" t="s">
        <v>224</v>
      </c>
    </row>
    <row r="18" spans="1:54" x14ac:dyDescent="0.25">
      <c r="A18" s="152">
        <v>340152</v>
      </c>
      <c r="B18" s="152" t="s">
        <v>257</v>
      </c>
      <c r="C18" s="152" t="s">
        <v>321</v>
      </c>
      <c r="D18" s="152" t="s">
        <v>321</v>
      </c>
      <c r="E18" s="152" t="s">
        <v>321</v>
      </c>
      <c r="F18" s="152" t="s">
        <v>321</v>
      </c>
      <c r="G18" s="152" t="s">
        <v>321</v>
      </c>
      <c r="H18" s="152" t="s">
        <v>321</v>
      </c>
      <c r="I18" s="152" t="s">
        <v>321</v>
      </c>
      <c r="J18" s="152" t="s">
        <v>321</v>
      </c>
      <c r="K18" s="152" t="s">
        <v>321</v>
      </c>
      <c r="L18" s="152" t="s">
        <v>321</v>
      </c>
      <c r="M18" s="152" t="s">
        <v>321</v>
      </c>
      <c r="N18" s="152" t="s">
        <v>321</v>
      </c>
      <c r="O18" s="152" t="s">
        <v>321</v>
      </c>
      <c r="P18" s="152" t="s">
        <v>321</v>
      </c>
      <c r="Q18" s="152" t="s">
        <v>321</v>
      </c>
      <c r="R18" s="152" t="s">
        <v>321</v>
      </c>
      <c r="S18" s="152" t="s">
        <v>321</v>
      </c>
      <c r="T18" s="152" t="s">
        <v>321</v>
      </c>
      <c r="U18" s="152" t="s">
        <v>321</v>
      </c>
      <c r="V18" s="152" t="s">
        <v>321</v>
      </c>
      <c r="W18" s="152" t="s">
        <v>321</v>
      </c>
      <c r="X18" s="152" t="s">
        <v>321</v>
      </c>
      <c r="Y18" s="152" t="s">
        <v>321</v>
      </c>
      <c r="Z18" s="152" t="s">
        <v>321</v>
      </c>
      <c r="AA18" s="152" t="s">
        <v>321</v>
      </c>
      <c r="AB18" s="152" t="s">
        <v>321</v>
      </c>
      <c r="AC18" s="152" t="s">
        <v>321</v>
      </c>
      <c r="AD18" s="152" t="s">
        <v>321</v>
      </c>
      <c r="AE18" s="152" t="s">
        <v>321</v>
      </c>
      <c r="AF18" s="152" t="s">
        <v>321</v>
      </c>
      <c r="AG18" s="152" t="s">
        <v>321</v>
      </c>
      <c r="AH18" s="152" t="s">
        <v>321</v>
      </c>
      <c r="AI18" s="152" t="s">
        <v>321</v>
      </c>
      <c r="AJ18" s="152" t="s">
        <v>321</v>
      </c>
      <c r="AK18" s="152" t="s">
        <v>321</v>
      </c>
      <c r="AL18" s="152" t="s">
        <v>321</v>
      </c>
      <c r="AM18" s="152" t="s">
        <v>321</v>
      </c>
      <c r="AN18" s="152" t="s">
        <v>321</v>
      </c>
      <c r="AO18" s="152" t="s">
        <v>321</v>
      </c>
      <c r="AP18" s="152" t="s">
        <v>321</v>
      </c>
      <c r="AQ18" s="152" t="s">
        <v>321</v>
      </c>
      <c r="AR18" s="152" t="s">
        <v>321</v>
      </c>
      <c r="AS18" s="152" t="s">
        <v>321</v>
      </c>
      <c r="AT18" s="152" t="s">
        <v>321</v>
      </c>
      <c r="AU18" s="152" t="s">
        <v>321</v>
      </c>
      <c r="AV18" s="152" t="s">
        <v>321</v>
      </c>
      <c r="AW18" s="152" t="s">
        <v>321</v>
      </c>
      <c r="AX18" s="152" t="s">
        <v>321</v>
      </c>
      <c r="AY18" s="152" t="s">
        <v>321</v>
      </c>
      <c r="AZ18" s="152" t="s">
        <v>321</v>
      </c>
      <c r="BB18" s="152" t="s">
        <v>298</v>
      </c>
    </row>
    <row r="19" spans="1:54" x14ac:dyDescent="0.25">
      <c r="A19" s="152">
        <v>340153</v>
      </c>
      <c r="B19" s="152" t="s">
        <v>504</v>
      </c>
      <c r="C19" s="152" t="s">
        <v>224</v>
      </c>
      <c r="D19" s="152" t="s">
        <v>224</v>
      </c>
      <c r="E19" s="152" t="s">
        <v>224</v>
      </c>
      <c r="F19" s="152" t="s">
        <v>224</v>
      </c>
      <c r="G19" s="152" t="s">
        <v>224</v>
      </c>
      <c r="H19" s="152" t="s">
        <v>224</v>
      </c>
      <c r="I19" s="152" t="s">
        <v>224</v>
      </c>
      <c r="J19" s="152" t="s">
        <v>224</v>
      </c>
      <c r="K19" s="152" t="s">
        <v>224</v>
      </c>
      <c r="L19" s="152" t="s">
        <v>224</v>
      </c>
      <c r="M19" s="152" t="s">
        <v>224</v>
      </c>
      <c r="N19" s="152" t="s">
        <v>224</v>
      </c>
      <c r="O19" s="152" t="s">
        <v>224</v>
      </c>
    </row>
    <row r="20" spans="1:54" x14ac:dyDescent="0.25">
      <c r="A20" s="152">
        <v>340154</v>
      </c>
      <c r="B20" s="152" t="s">
        <v>237</v>
      </c>
      <c r="C20" s="152" t="s">
        <v>224</v>
      </c>
      <c r="D20" s="152" t="s">
        <v>224</v>
      </c>
      <c r="E20" s="152" t="s">
        <v>224</v>
      </c>
      <c r="F20" s="152" t="s">
        <v>224</v>
      </c>
      <c r="G20" s="152" t="s">
        <v>224</v>
      </c>
      <c r="H20" s="152" t="s">
        <v>224</v>
      </c>
      <c r="I20" s="152" t="s">
        <v>224</v>
      </c>
      <c r="J20" s="152" t="s">
        <v>224</v>
      </c>
      <c r="K20" s="152" t="s">
        <v>224</v>
      </c>
      <c r="L20" s="152" t="s">
        <v>224</v>
      </c>
      <c r="M20" s="152" t="s">
        <v>224</v>
      </c>
      <c r="N20" s="152" t="s">
        <v>224</v>
      </c>
      <c r="O20" s="152" t="s">
        <v>224</v>
      </c>
    </row>
    <row r="21" spans="1:54" x14ac:dyDescent="0.25">
      <c r="A21" s="152">
        <v>340155</v>
      </c>
      <c r="B21" s="152" t="s">
        <v>247</v>
      </c>
      <c r="C21" s="152" t="s">
        <v>224</v>
      </c>
      <c r="D21" s="152" t="s">
        <v>224</v>
      </c>
      <c r="E21" s="152" t="s">
        <v>224</v>
      </c>
      <c r="F21" s="152" t="s">
        <v>224</v>
      </c>
      <c r="G21" s="152" t="s">
        <v>224</v>
      </c>
      <c r="H21" s="152" t="s">
        <v>224</v>
      </c>
      <c r="I21" s="152" t="s">
        <v>224</v>
      </c>
      <c r="J21" s="152" t="s">
        <v>224</v>
      </c>
      <c r="K21" s="152" t="s">
        <v>224</v>
      </c>
      <c r="L21" s="152" t="s">
        <v>224</v>
      </c>
      <c r="M21" s="152" t="s">
        <v>224</v>
      </c>
      <c r="N21" s="152" t="s">
        <v>224</v>
      </c>
      <c r="O21" s="152" t="s">
        <v>224</v>
      </c>
      <c r="P21" s="152" t="s">
        <v>224</v>
      </c>
      <c r="Q21" s="152" t="s">
        <v>224</v>
      </c>
      <c r="R21" s="152" t="s">
        <v>224</v>
      </c>
      <c r="S21" s="152" t="s">
        <v>224</v>
      </c>
      <c r="T21" s="152" t="s">
        <v>224</v>
      </c>
      <c r="U21" s="152" t="s">
        <v>224</v>
      </c>
      <c r="V21" s="152" t="s">
        <v>224</v>
      </c>
    </row>
    <row r="22" spans="1:54" x14ac:dyDescent="0.25">
      <c r="A22" s="152">
        <v>340156</v>
      </c>
      <c r="B22" s="152" t="s">
        <v>244</v>
      </c>
      <c r="C22" s="152" t="s">
        <v>224</v>
      </c>
      <c r="D22" s="152" t="s">
        <v>224</v>
      </c>
      <c r="E22" s="152" t="s">
        <v>224</v>
      </c>
      <c r="F22" s="152" t="s">
        <v>224</v>
      </c>
      <c r="G22" s="152" t="s">
        <v>224</v>
      </c>
      <c r="H22" s="152" t="s">
        <v>224</v>
      </c>
      <c r="I22" s="152" t="s">
        <v>224</v>
      </c>
      <c r="J22" s="152" t="s">
        <v>224</v>
      </c>
      <c r="K22" s="152" t="s">
        <v>224</v>
      </c>
      <c r="L22" s="152" t="s">
        <v>224</v>
      </c>
      <c r="M22" s="152" t="s">
        <v>224</v>
      </c>
      <c r="N22" s="152" t="s">
        <v>224</v>
      </c>
      <c r="O22" s="152" t="s">
        <v>224</v>
      </c>
      <c r="P22" s="152" t="s">
        <v>224</v>
      </c>
      <c r="Q22" s="152" t="s">
        <v>224</v>
      </c>
      <c r="R22" s="152" t="s">
        <v>224</v>
      </c>
      <c r="S22" s="152" t="s">
        <v>224</v>
      </c>
      <c r="T22" s="152" t="s">
        <v>224</v>
      </c>
      <c r="U22" s="152" t="s">
        <v>224</v>
      </c>
      <c r="V22" s="152" t="s">
        <v>224</v>
      </c>
      <c r="W22" s="152" t="s">
        <v>224</v>
      </c>
      <c r="X22" s="152" t="s">
        <v>224</v>
      </c>
      <c r="Y22" s="152" t="s">
        <v>224</v>
      </c>
      <c r="Z22" s="152" t="s">
        <v>224</v>
      </c>
      <c r="AA22" s="152" t="s">
        <v>224</v>
      </c>
      <c r="AB22" s="152" t="s">
        <v>224</v>
      </c>
    </row>
    <row r="23" spans="1:54" x14ac:dyDescent="0.25">
      <c r="A23" s="152">
        <v>340157</v>
      </c>
      <c r="B23" s="152" t="s">
        <v>505</v>
      </c>
      <c r="C23" s="152" t="s">
        <v>224</v>
      </c>
      <c r="D23" s="152" t="s">
        <v>224</v>
      </c>
      <c r="E23" s="152" t="s">
        <v>224</v>
      </c>
      <c r="F23" s="152" t="s">
        <v>224</v>
      </c>
      <c r="G23" s="152" t="s">
        <v>224</v>
      </c>
      <c r="H23" s="152" t="s">
        <v>224</v>
      </c>
      <c r="I23" s="152" t="s">
        <v>224</v>
      </c>
      <c r="J23" s="152" t="s">
        <v>224</v>
      </c>
      <c r="K23" s="152" t="s">
        <v>224</v>
      </c>
      <c r="L23" s="152" t="s">
        <v>224</v>
      </c>
      <c r="M23" s="152" t="s">
        <v>224</v>
      </c>
      <c r="N23" s="152" t="s">
        <v>224</v>
      </c>
      <c r="O23" s="152" t="s">
        <v>224</v>
      </c>
      <c r="P23" s="152" t="s">
        <v>224</v>
      </c>
      <c r="Q23" s="152" t="s">
        <v>224</v>
      </c>
      <c r="R23" s="152" t="s">
        <v>224</v>
      </c>
      <c r="S23" s="152" t="s">
        <v>224</v>
      </c>
      <c r="T23" s="152" t="s">
        <v>224</v>
      </c>
      <c r="U23" s="152" t="s">
        <v>224</v>
      </c>
      <c r="V23" s="152" t="s">
        <v>224</v>
      </c>
      <c r="W23" s="152" t="s">
        <v>224</v>
      </c>
      <c r="X23" s="152" t="s">
        <v>224</v>
      </c>
      <c r="Y23" s="152" t="s">
        <v>224</v>
      </c>
      <c r="Z23" s="152" t="s">
        <v>224</v>
      </c>
      <c r="AA23" s="152" t="s">
        <v>224</v>
      </c>
      <c r="AB23" s="152" t="s">
        <v>224</v>
      </c>
    </row>
    <row r="24" spans="1:54" x14ac:dyDescent="0.25">
      <c r="A24" s="152">
        <v>340158</v>
      </c>
      <c r="B24" s="152" t="s">
        <v>504</v>
      </c>
      <c r="C24" s="152" t="s">
        <v>224</v>
      </c>
      <c r="D24" s="152" t="s">
        <v>224</v>
      </c>
      <c r="E24" s="152" t="s">
        <v>224</v>
      </c>
      <c r="F24" s="152" t="s">
        <v>224</v>
      </c>
      <c r="G24" s="152" t="s">
        <v>224</v>
      </c>
      <c r="H24" s="152" t="s">
        <v>224</v>
      </c>
      <c r="I24" s="152" t="s">
        <v>224</v>
      </c>
      <c r="J24" s="152" t="s">
        <v>224</v>
      </c>
      <c r="K24" s="152" t="s">
        <v>224</v>
      </c>
      <c r="L24" s="152" t="s">
        <v>224</v>
      </c>
      <c r="M24" s="152" t="s">
        <v>224</v>
      </c>
      <c r="N24" s="152" t="s">
        <v>224</v>
      </c>
      <c r="O24" s="152" t="s">
        <v>224</v>
      </c>
    </row>
    <row r="25" spans="1:54" x14ac:dyDescent="0.25">
      <c r="A25" s="152">
        <v>340159</v>
      </c>
      <c r="B25" s="152" t="s">
        <v>247</v>
      </c>
      <c r="C25" s="152" t="s">
        <v>224</v>
      </c>
      <c r="D25" s="152" t="s">
        <v>224</v>
      </c>
      <c r="E25" s="152" t="s">
        <v>224</v>
      </c>
      <c r="F25" s="152" t="s">
        <v>224</v>
      </c>
      <c r="G25" s="152" t="s">
        <v>224</v>
      </c>
      <c r="H25" s="152" t="s">
        <v>224</v>
      </c>
      <c r="I25" s="152" t="s">
        <v>224</v>
      </c>
      <c r="J25" s="152" t="s">
        <v>224</v>
      </c>
      <c r="K25" s="152" t="s">
        <v>224</v>
      </c>
      <c r="L25" s="152" t="s">
        <v>224</v>
      </c>
      <c r="M25" s="152" t="s">
        <v>224</v>
      </c>
      <c r="N25" s="152" t="s">
        <v>224</v>
      </c>
      <c r="O25" s="152" t="s">
        <v>224</v>
      </c>
      <c r="P25" s="152" t="s">
        <v>224</v>
      </c>
      <c r="Q25" s="152" t="s">
        <v>224</v>
      </c>
      <c r="R25" s="152" t="s">
        <v>224</v>
      </c>
      <c r="S25" s="152" t="s">
        <v>224</v>
      </c>
      <c r="T25" s="152" t="s">
        <v>224</v>
      </c>
      <c r="U25" s="152" t="s">
        <v>224</v>
      </c>
      <c r="V25" s="152" t="s">
        <v>224</v>
      </c>
    </row>
    <row r="26" spans="1:54" x14ac:dyDescent="0.25">
      <c r="A26" s="152">
        <v>340160</v>
      </c>
      <c r="B26" s="152" t="s">
        <v>252</v>
      </c>
      <c r="C26" s="152" t="s">
        <v>224</v>
      </c>
      <c r="D26" s="152" t="s">
        <v>224</v>
      </c>
      <c r="E26" s="152" t="s">
        <v>224</v>
      </c>
      <c r="F26" s="152" t="s">
        <v>224</v>
      </c>
      <c r="G26" s="152" t="s">
        <v>224</v>
      </c>
      <c r="H26" s="152" t="s">
        <v>224</v>
      </c>
      <c r="I26" s="152" t="s">
        <v>224</v>
      </c>
      <c r="J26" s="152" t="s">
        <v>224</v>
      </c>
      <c r="K26" s="152" t="s">
        <v>224</v>
      </c>
      <c r="L26" s="152" t="s">
        <v>224</v>
      </c>
      <c r="M26" s="152" t="s">
        <v>224</v>
      </c>
      <c r="N26" s="152" t="s">
        <v>224</v>
      </c>
      <c r="O26" s="152" t="s">
        <v>224</v>
      </c>
      <c r="P26" s="152" t="s">
        <v>224</v>
      </c>
      <c r="Q26" s="152" t="s">
        <v>224</v>
      </c>
      <c r="R26" s="152" t="s">
        <v>224</v>
      </c>
      <c r="S26" s="152" t="s">
        <v>224</v>
      </c>
      <c r="T26" s="152" t="s">
        <v>224</v>
      </c>
      <c r="U26" s="152" t="s">
        <v>224</v>
      </c>
      <c r="V26" s="152" t="s">
        <v>224</v>
      </c>
      <c r="W26" s="152" t="s">
        <v>224</v>
      </c>
      <c r="X26" s="152" t="s">
        <v>224</v>
      </c>
      <c r="Y26" s="152" t="s">
        <v>224</v>
      </c>
      <c r="Z26" s="152" t="s">
        <v>224</v>
      </c>
      <c r="AA26" s="152" t="s">
        <v>224</v>
      </c>
      <c r="AB26" s="152" t="s">
        <v>224</v>
      </c>
      <c r="AC26" s="152" t="s">
        <v>224</v>
      </c>
      <c r="AD26" s="152" t="s">
        <v>224</v>
      </c>
      <c r="AE26" s="152" t="s">
        <v>224</v>
      </c>
      <c r="AF26" s="152" t="s">
        <v>224</v>
      </c>
      <c r="AG26" s="152" t="s">
        <v>224</v>
      </c>
      <c r="AH26" s="152" t="s">
        <v>224</v>
      </c>
      <c r="AI26" s="152" t="s">
        <v>224</v>
      </c>
      <c r="AJ26" s="152" t="s">
        <v>224</v>
      </c>
      <c r="AK26" s="152" t="s">
        <v>224</v>
      </c>
      <c r="AL26" s="152" t="s">
        <v>224</v>
      </c>
      <c r="AM26" s="152" t="s">
        <v>224</v>
      </c>
      <c r="AN26" s="152" t="s">
        <v>224</v>
      </c>
    </row>
    <row r="27" spans="1:54" x14ac:dyDescent="0.25">
      <c r="A27" s="152">
        <v>340161</v>
      </c>
      <c r="B27" s="152" t="s">
        <v>504</v>
      </c>
      <c r="C27" s="152" t="s">
        <v>224</v>
      </c>
      <c r="D27" s="152" t="s">
        <v>224</v>
      </c>
      <c r="E27" s="152" t="s">
        <v>224</v>
      </c>
      <c r="F27" s="152" t="s">
        <v>224</v>
      </c>
      <c r="G27" s="152" t="s">
        <v>224</v>
      </c>
      <c r="H27" s="152" t="s">
        <v>224</v>
      </c>
      <c r="I27" s="152" t="s">
        <v>224</v>
      </c>
      <c r="J27" s="152" t="s">
        <v>224</v>
      </c>
      <c r="K27" s="152" t="s">
        <v>224</v>
      </c>
      <c r="L27" s="152" t="s">
        <v>224</v>
      </c>
      <c r="M27" s="152" t="s">
        <v>224</v>
      </c>
      <c r="N27" s="152" t="s">
        <v>224</v>
      </c>
      <c r="O27" s="152" t="s">
        <v>224</v>
      </c>
    </row>
    <row r="28" spans="1:54" x14ac:dyDescent="0.25">
      <c r="A28" s="152">
        <v>340162</v>
      </c>
      <c r="B28" s="152" t="s">
        <v>244</v>
      </c>
      <c r="C28" s="152" t="s">
        <v>224</v>
      </c>
      <c r="D28" s="152" t="s">
        <v>224</v>
      </c>
      <c r="E28" s="152" t="s">
        <v>224</v>
      </c>
      <c r="F28" s="152" t="s">
        <v>224</v>
      </c>
      <c r="G28" s="152" t="s">
        <v>224</v>
      </c>
      <c r="H28" s="152" t="s">
        <v>224</v>
      </c>
      <c r="I28" s="152" t="s">
        <v>224</v>
      </c>
      <c r="J28" s="152" t="s">
        <v>224</v>
      </c>
      <c r="K28" s="152" t="s">
        <v>224</v>
      </c>
      <c r="L28" s="152" t="s">
        <v>224</v>
      </c>
      <c r="M28" s="152" t="s">
        <v>224</v>
      </c>
      <c r="N28" s="152" t="s">
        <v>224</v>
      </c>
      <c r="O28" s="152" t="s">
        <v>224</v>
      </c>
      <c r="P28" s="152" t="s">
        <v>224</v>
      </c>
      <c r="Q28" s="152" t="s">
        <v>224</v>
      </c>
      <c r="R28" s="152" t="s">
        <v>224</v>
      </c>
      <c r="S28" s="152" t="s">
        <v>224</v>
      </c>
      <c r="T28" s="152" t="s">
        <v>224</v>
      </c>
      <c r="U28" s="152" t="s">
        <v>224</v>
      </c>
      <c r="V28" s="152" t="s">
        <v>224</v>
      </c>
      <c r="W28" s="152" t="s">
        <v>224</v>
      </c>
      <c r="X28" s="152" t="s">
        <v>224</v>
      </c>
      <c r="Y28" s="152" t="s">
        <v>224</v>
      </c>
      <c r="Z28" s="152" t="s">
        <v>224</v>
      </c>
      <c r="AA28" s="152" t="s">
        <v>224</v>
      </c>
      <c r="AB28" s="152" t="s">
        <v>224</v>
      </c>
    </row>
    <row r="29" spans="1:54" x14ac:dyDescent="0.25">
      <c r="A29" s="152">
        <v>340163</v>
      </c>
      <c r="B29" s="152" t="s">
        <v>244</v>
      </c>
      <c r="C29" s="152" t="s">
        <v>224</v>
      </c>
      <c r="D29" s="152" t="s">
        <v>224</v>
      </c>
      <c r="E29" s="152" t="s">
        <v>224</v>
      </c>
      <c r="F29" s="152" t="s">
        <v>224</v>
      </c>
      <c r="G29" s="152" t="s">
        <v>224</v>
      </c>
      <c r="H29" s="152" t="s">
        <v>224</v>
      </c>
      <c r="I29" s="152" t="s">
        <v>224</v>
      </c>
      <c r="J29" s="152" t="s">
        <v>224</v>
      </c>
      <c r="K29" s="152" t="s">
        <v>224</v>
      </c>
      <c r="L29" s="152" t="s">
        <v>224</v>
      </c>
      <c r="M29" s="152" t="s">
        <v>224</v>
      </c>
      <c r="N29" s="152" t="s">
        <v>224</v>
      </c>
      <c r="O29" s="152" t="s">
        <v>224</v>
      </c>
      <c r="P29" s="152" t="s">
        <v>224</v>
      </c>
      <c r="Q29" s="152" t="s">
        <v>224</v>
      </c>
      <c r="R29" s="152" t="s">
        <v>224</v>
      </c>
      <c r="S29" s="152" t="s">
        <v>224</v>
      </c>
      <c r="T29" s="152" t="s">
        <v>224</v>
      </c>
      <c r="U29" s="152" t="s">
        <v>224</v>
      </c>
      <c r="V29" s="152" t="s">
        <v>224</v>
      </c>
      <c r="W29" s="152" t="s">
        <v>224</v>
      </c>
      <c r="X29" s="152" t="s">
        <v>224</v>
      </c>
      <c r="Y29" s="152" t="s">
        <v>224</v>
      </c>
      <c r="Z29" s="152" t="s">
        <v>224</v>
      </c>
      <c r="AA29" s="152" t="s">
        <v>224</v>
      </c>
      <c r="AB29" s="152" t="s">
        <v>224</v>
      </c>
    </row>
    <row r="30" spans="1:54" x14ac:dyDescent="0.25">
      <c r="A30" s="152">
        <v>340164</v>
      </c>
      <c r="B30" s="152" t="s">
        <v>252</v>
      </c>
      <c r="C30" s="152" t="s">
        <v>224</v>
      </c>
      <c r="D30" s="152" t="s">
        <v>224</v>
      </c>
      <c r="E30" s="152" t="s">
        <v>224</v>
      </c>
      <c r="F30" s="152" t="s">
        <v>224</v>
      </c>
      <c r="G30" s="152" t="s">
        <v>224</v>
      </c>
      <c r="H30" s="152" t="s">
        <v>224</v>
      </c>
      <c r="I30" s="152" t="s">
        <v>224</v>
      </c>
      <c r="J30" s="152" t="s">
        <v>224</v>
      </c>
      <c r="K30" s="152" t="s">
        <v>224</v>
      </c>
      <c r="L30" s="152" t="s">
        <v>224</v>
      </c>
      <c r="M30" s="152" t="s">
        <v>224</v>
      </c>
      <c r="N30" s="152" t="s">
        <v>224</v>
      </c>
      <c r="O30" s="152" t="s">
        <v>224</v>
      </c>
      <c r="P30" s="152" t="s">
        <v>224</v>
      </c>
      <c r="Q30" s="152" t="s">
        <v>224</v>
      </c>
      <c r="R30" s="152" t="s">
        <v>224</v>
      </c>
      <c r="S30" s="152" t="s">
        <v>224</v>
      </c>
      <c r="T30" s="152" t="s">
        <v>224</v>
      </c>
      <c r="U30" s="152" t="s">
        <v>224</v>
      </c>
      <c r="V30" s="152" t="s">
        <v>224</v>
      </c>
      <c r="W30" s="152" t="s">
        <v>224</v>
      </c>
      <c r="X30" s="152" t="s">
        <v>224</v>
      </c>
      <c r="Y30" s="152" t="s">
        <v>224</v>
      </c>
      <c r="Z30" s="152" t="s">
        <v>224</v>
      </c>
      <c r="AA30" s="152" t="s">
        <v>224</v>
      </c>
      <c r="AB30" s="152" t="s">
        <v>224</v>
      </c>
      <c r="AC30" s="152" t="s">
        <v>224</v>
      </c>
      <c r="AD30" s="152" t="s">
        <v>224</v>
      </c>
      <c r="AE30" s="152" t="s">
        <v>224</v>
      </c>
      <c r="AF30" s="152" t="s">
        <v>224</v>
      </c>
      <c r="AG30" s="152" t="s">
        <v>224</v>
      </c>
      <c r="AH30" s="152" t="s">
        <v>224</v>
      </c>
      <c r="AI30" s="152" t="s">
        <v>224</v>
      </c>
      <c r="AJ30" s="152" t="s">
        <v>224</v>
      </c>
      <c r="AK30" s="152" t="s">
        <v>224</v>
      </c>
      <c r="AL30" s="152" t="s">
        <v>224</v>
      </c>
      <c r="AM30" s="152" t="s">
        <v>224</v>
      </c>
      <c r="AN30" s="152" t="s">
        <v>224</v>
      </c>
    </row>
    <row r="31" spans="1:54" x14ac:dyDescent="0.25">
      <c r="A31" s="152">
        <v>340165</v>
      </c>
      <c r="B31" s="152" t="s">
        <v>247</v>
      </c>
      <c r="C31" s="152" t="s">
        <v>224</v>
      </c>
      <c r="D31" s="152" t="s">
        <v>224</v>
      </c>
      <c r="E31" s="152" t="s">
        <v>224</v>
      </c>
      <c r="F31" s="152" t="s">
        <v>224</v>
      </c>
      <c r="G31" s="152" t="s">
        <v>224</v>
      </c>
      <c r="H31" s="152" t="s">
        <v>224</v>
      </c>
      <c r="I31" s="152" t="s">
        <v>224</v>
      </c>
      <c r="J31" s="152" t="s">
        <v>224</v>
      </c>
      <c r="K31" s="152" t="s">
        <v>224</v>
      </c>
      <c r="L31" s="152" t="s">
        <v>224</v>
      </c>
      <c r="M31" s="152" t="s">
        <v>224</v>
      </c>
      <c r="N31" s="152" t="s">
        <v>224</v>
      </c>
      <c r="O31" s="152" t="s">
        <v>224</v>
      </c>
      <c r="P31" s="152" t="s">
        <v>224</v>
      </c>
      <c r="Q31" s="152" t="s">
        <v>224</v>
      </c>
      <c r="R31" s="152" t="s">
        <v>224</v>
      </c>
      <c r="S31" s="152" t="s">
        <v>224</v>
      </c>
      <c r="T31" s="152" t="s">
        <v>224</v>
      </c>
      <c r="U31" s="152" t="s">
        <v>224</v>
      </c>
      <c r="V31" s="152" t="s">
        <v>224</v>
      </c>
    </row>
    <row r="32" spans="1:54" x14ac:dyDescent="0.25">
      <c r="A32" s="152">
        <v>340166</v>
      </c>
      <c r="B32" s="152" t="s">
        <v>247</v>
      </c>
      <c r="C32" s="152" t="s">
        <v>224</v>
      </c>
      <c r="D32" s="152" t="s">
        <v>224</v>
      </c>
      <c r="E32" s="152" t="s">
        <v>224</v>
      </c>
      <c r="F32" s="152" t="s">
        <v>224</v>
      </c>
      <c r="G32" s="152" t="s">
        <v>224</v>
      </c>
      <c r="H32" s="152" t="s">
        <v>224</v>
      </c>
      <c r="I32" s="152" t="s">
        <v>224</v>
      </c>
      <c r="J32" s="152" t="s">
        <v>224</v>
      </c>
      <c r="K32" s="152" t="s">
        <v>224</v>
      </c>
      <c r="L32" s="152" t="s">
        <v>224</v>
      </c>
      <c r="M32" s="152" t="s">
        <v>224</v>
      </c>
      <c r="N32" s="152" t="s">
        <v>224</v>
      </c>
      <c r="O32" s="152" t="s">
        <v>224</v>
      </c>
      <c r="P32" s="152" t="s">
        <v>224</v>
      </c>
      <c r="Q32" s="152" t="s">
        <v>224</v>
      </c>
      <c r="R32" s="152" t="s">
        <v>224</v>
      </c>
      <c r="S32" s="152" t="s">
        <v>224</v>
      </c>
      <c r="T32" s="152" t="s">
        <v>224</v>
      </c>
      <c r="U32" s="152" t="s">
        <v>224</v>
      </c>
      <c r="V32" s="152" t="s">
        <v>224</v>
      </c>
    </row>
    <row r="33" spans="1:54" x14ac:dyDescent="0.25">
      <c r="A33" s="152">
        <v>340167</v>
      </c>
      <c r="B33" s="152" t="s">
        <v>244</v>
      </c>
      <c r="C33" s="152" t="s">
        <v>224</v>
      </c>
      <c r="D33" s="152" t="s">
        <v>224</v>
      </c>
      <c r="E33" s="152" t="s">
        <v>224</v>
      </c>
      <c r="F33" s="152" t="s">
        <v>224</v>
      </c>
      <c r="G33" s="152" t="s">
        <v>224</v>
      </c>
      <c r="H33" s="152" t="s">
        <v>224</v>
      </c>
      <c r="I33" s="152" t="s">
        <v>224</v>
      </c>
      <c r="J33" s="152" t="s">
        <v>224</v>
      </c>
      <c r="K33" s="152" t="s">
        <v>224</v>
      </c>
      <c r="L33" s="152" t="s">
        <v>224</v>
      </c>
      <c r="M33" s="152" t="s">
        <v>224</v>
      </c>
      <c r="N33" s="152" t="s">
        <v>224</v>
      </c>
      <c r="O33" s="152" t="s">
        <v>224</v>
      </c>
      <c r="P33" s="152" t="s">
        <v>224</v>
      </c>
      <c r="Q33" s="152" t="s">
        <v>224</v>
      </c>
      <c r="R33" s="152" t="s">
        <v>224</v>
      </c>
      <c r="S33" s="152" t="s">
        <v>224</v>
      </c>
      <c r="T33" s="152" t="s">
        <v>224</v>
      </c>
      <c r="U33" s="152" t="s">
        <v>224</v>
      </c>
      <c r="V33" s="152" t="s">
        <v>224</v>
      </c>
      <c r="W33" s="152" t="s">
        <v>224</v>
      </c>
      <c r="X33" s="152" t="s">
        <v>224</v>
      </c>
      <c r="Y33" s="152" t="s">
        <v>224</v>
      </c>
      <c r="Z33" s="152" t="s">
        <v>224</v>
      </c>
      <c r="AA33" s="152" t="s">
        <v>224</v>
      </c>
      <c r="AB33" s="152" t="s">
        <v>224</v>
      </c>
    </row>
    <row r="34" spans="1:54" x14ac:dyDescent="0.25">
      <c r="A34" s="152">
        <v>340168</v>
      </c>
      <c r="B34" s="152" t="s">
        <v>237</v>
      </c>
      <c r="C34" s="152" t="s">
        <v>224</v>
      </c>
      <c r="D34" s="152" t="s">
        <v>224</v>
      </c>
      <c r="E34" s="152" t="s">
        <v>224</v>
      </c>
      <c r="F34" s="152" t="s">
        <v>224</v>
      </c>
      <c r="G34" s="152" t="s">
        <v>224</v>
      </c>
      <c r="H34" s="152" t="s">
        <v>224</v>
      </c>
      <c r="I34" s="152" t="s">
        <v>224</v>
      </c>
      <c r="J34" s="152" t="s">
        <v>224</v>
      </c>
      <c r="K34" s="152" t="s">
        <v>224</v>
      </c>
      <c r="L34" s="152" t="s">
        <v>224</v>
      </c>
      <c r="M34" s="152" t="s">
        <v>224</v>
      </c>
      <c r="N34" s="152" t="s">
        <v>224</v>
      </c>
      <c r="O34" s="152" t="s">
        <v>224</v>
      </c>
    </row>
    <row r="35" spans="1:54" x14ac:dyDescent="0.25">
      <c r="A35" s="152">
        <v>340169</v>
      </c>
      <c r="B35" s="152" t="s">
        <v>260</v>
      </c>
      <c r="C35" s="152" t="s">
        <v>224</v>
      </c>
      <c r="D35" s="152" t="s">
        <v>224</v>
      </c>
      <c r="E35" s="152" t="s">
        <v>224</v>
      </c>
      <c r="F35" s="152" t="s">
        <v>224</v>
      </c>
      <c r="G35" s="152" t="s">
        <v>224</v>
      </c>
      <c r="H35" s="152" t="s">
        <v>224</v>
      </c>
      <c r="I35" s="152" t="s">
        <v>224</v>
      </c>
      <c r="J35" s="152" t="s">
        <v>224</v>
      </c>
      <c r="K35" s="152" t="s">
        <v>224</v>
      </c>
      <c r="L35" s="152" t="s">
        <v>224</v>
      </c>
      <c r="M35" s="152" t="s">
        <v>224</v>
      </c>
      <c r="N35" s="152" t="s">
        <v>224</v>
      </c>
      <c r="O35" s="152" t="s">
        <v>224</v>
      </c>
      <c r="P35" s="152" t="s">
        <v>224</v>
      </c>
      <c r="Q35" s="152" t="s">
        <v>224</v>
      </c>
      <c r="R35" s="152" t="s">
        <v>224</v>
      </c>
      <c r="S35" s="152" t="s">
        <v>224</v>
      </c>
      <c r="T35" s="152" t="s">
        <v>224</v>
      </c>
      <c r="U35" s="152" t="s">
        <v>224</v>
      </c>
      <c r="V35" s="152" t="s">
        <v>224</v>
      </c>
      <c r="W35" s="152" t="s">
        <v>224</v>
      </c>
      <c r="X35" s="152" t="s">
        <v>224</v>
      </c>
      <c r="Y35" s="152" t="s">
        <v>224</v>
      </c>
      <c r="Z35" s="152" t="s">
        <v>224</v>
      </c>
      <c r="AA35" s="152" t="s">
        <v>224</v>
      </c>
      <c r="AB35" s="152" t="s">
        <v>224</v>
      </c>
      <c r="AC35" s="152" t="s">
        <v>224</v>
      </c>
      <c r="AD35" s="152" t="s">
        <v>224</v>
      </c>
      <c r="AE35" s="152" t="s">
        <v>224</v>
      </c>
      <c r="AF35" s="152" t="s">
        <v>224</v>
      </c>
      <c r="AG35" s="152" t="s">
        <v>224</v>
      </c>
      <c r="AH35" s="152" t="s">
        <v>224</v>
      </c>
      <c r="AI35" s="152" t="s">
        <v>224</v>
      </c>
      <c r="AJ35" s="152" t="s">
        <v>224</v>
      </c>
      <c r="AK35" s="152" t="s">
        <v>224</v>
      </c>
      <c r="AL35" s="152" t="s">
        <v>224</v>
      </c>
      <c r="AM35" s="152" t="s">
        <v>224</v>
      </c>
      <c r="AN35" s="152" t="s">
        <v>224</v>
      </c>
      <c r="AO35" s="152" t="s">
        <v>224</v>
      </c>
      <c r="AP35" s="152" t="s">
        <v>224</v>
      </c>
      <c r="AQ35" s="152" t="s">
        <v>224</v>
      </c>
      <c r="AR35" s="152" t="s">
        <v>224</v>
      </c>
      <c r="AS35" s="152" t="s">
        <v>224</v>
      </c>
      <c r="AT35" s="152" t="s">
        <v>224</v>
      </c>
    </row>
    <row r="36" spans="1:54" x14ac:dyDescent="0.25">
      <c r="A36" s="152">
        <v>340170</v>
      </c>
      <c r="B36" s="152" t="s">
        <v>244</v>
      </c>
      <c r="C36" s="152" t="s">
        <v>224</v>
      </c>
      <c r="D36" s="152" t="s">
        <v>224</v>
      </c>
      <c r="E36" s="152" t="s">
        <v>224</v>
      </c>
      <c r="F36" s="152" t="s">
        <v>224</v>
      </c>
      <c r="G36" s="152" t="s">
        <v>224</v>
      </c>
      <c r="H36" s="152" t="s">
        <v>224</v>
      </c>
      <c r="I36" s="152" t="s">
        <v>224</v>
      </c>
      <c r="J36" s="152" t="s">
        <v>224</v>
      </c>
      <c r="K36" s="152" t="s">
        <v>224</v>
      </c>
      <c r="L36" s="152" t="s">
        <v>224</v>
      </c>
      <c r="M36" s="152" t="s">
        <v>224</v>
      </c>
      <c r="N36" s="152" t="s">
        <v>224</v>
      </c>
      <c r="O36" s="152" t="s">
        <v>224</v>
      </c>
      <c r="P36" s="152" t="s">
        <v>224</v>
      </c>
      <c r="Q36" s="152" t="s">
        <v>224</v>
      </c>
      <c r="R36" s="152" t="s">
        <v>224</v>
      </c>
      <c r="S36" s="152" t="s">
        <v>224</v>
      </c>
      <c r="T36" s="152" t="s">
        <v>224</v>
      </c>
      <c r="U36" s="152" t="s">
        <v>224</v>
      </c>
      <c r="V36" s="152" t="s">
        <v>224</v>
      </c>
      <c r="W36" s="152" t="s">
        <v>224</v>
      </c>
      <c r="X36" s="152" t="s">
        <v>224</v>
      </c>
      <c r="Y36" s="152" t="s">
        <v>224</v>
      </c>
      <c r="Z36" s="152" t="s">
        <v>224</v>
      </c>
      <c r="AA36" s="152" t="s">
        <v>224</v>
      </c>
      <c r="AB36" s="152" t="s">
        <v>224</v>
      </c>
    </row>
    <row r="37" spans="1:54" x14ac:dyDescent="0.25">
      <c r="A37" s="152">
        <v>340171</v>
      </c>
      <c r="B37" s="152" t="s">
        <v>244</v>
      </c>
      <c r="C37" s="152" t="s">
        <v>224</v>
      </c>
      <c r="D37" s="152" t="s">
        <v>224</v>
      </c>
      <c r="E37" s="152" t="s">
        <v>224</v>
      </c>
      <c r="F37" s="152" t="s">
        <v>224</v>
      </c>
      <c r="G37" s="152" t="s">
        <v>224</v>
      </c>
      <c r="H37" s="152" t="s">
        <v>224</v>
      </c>
      <c r="I37" s="152" t="s">
        <v>224</v>
      </c>
      <c r="J37" s="152" t="s">
        <v>224</v>
      </c>
      <c r="K37" s="152" t="s">
        <v>224</v>
      </c>
      <c r="L37" s="152" t="s">
        <v>224</v>
      </c>
      <c r="M37" s="152" t="s">
        <v>224</v>
      </c>
      <c r="N37" s="152" t="s">
        <v>224</v>
      </c>
      <c r="O37" s="152" t="s">
        <v>224</v>
      </c>
      <c r="P37" s="152" t="s">
        <v>224</v>
      </c>
      <c r="Q37" s="152" t="s">
        <v>224</v>
      </c>
      <c r="R37" s="152" t="s">
        <v>224</v>
      </c>
      <c r="S37" s="152" t="s">
        <v>224</v>
      </c>
      <c r="T37" s="152" t="s">
        <v>224</v>
      </c>
      <c r="U37" s="152" t="s">
        <v>224</v>
      </c>
      <c r="V37" s="152" t="s">
        <v>224</v>
      </c>
      <c r="W37" s="152" t="s">
        <v>224</v>
      </c>
      <c r="X37" s="152" t="s">
        <v>224</v>
      </c>
      <c r="Y37" s="152" t="s">
        <v>224</v>
      </c>
      <c r="Z37" s="152" t="s">
        <v>224</v>
      </c>
      <c r="AA37" s="152" t="s">
        <v>224</v>
      </c>
      <c r="AB37" s="152" t="s">
        <v>224</v>
      </c>
    </row>
    <row r="38" spans="1:54" x14ac:dyDescent="0.25">
      <c r="A38" s="152">
        <v>340172</v>
      </c>
      <c r="B38" s="152" t="s">
        <v>237</v>
      </c>
      <c r="C38" s="152" t="s">
        <v>224</v>
      </c>
      <c r="D38" s="152" t="s">
        <v>224</v>
      </c>
      <c r="E38" s="152" t="s">
        <v>224</v>
      </c>
      <c r="F38" s="152" t="s">
        <v>224</v>
      </c>
      <c r="G38" s="152" t="s">
        <v>224</v>
      </c>
      <c r="H38" s="152" t="s">
        <v>224</v>
      </c>
      <c r="I38" s="152" t="s">
        <v>224</v>
      </c>
      <c r="J38" s="152" t="s">
        <v>224</v>
      </c>
      <c r="K38" s="152" t="s">
        <v>224</v>
      </c>
      <c r="L38" s="152" t="s">
        <v>224</v>
      </c>
      <c r="M38" s="152" t="s">
        <v>224</v>
      </c>
      <c r="N38" s="152" t="s">
        <v>224</v>
      </c>
      <c r="O38" s="152" t="s">
        <v>224</v>
      </c>
    </row>
    <row r="39" spans="1:54" x14ac:dyDescent="0.25">
      <c r="A39" s="152">
        <v>340173</v>
      </c>
      <c r="B39" s="152" t="s">
        <v>247</v>
      </c>
      <c r="C39" s="152" t="s">
        <v>224</v>
      </c>
      <c r="D39" s="152" t="s">
        <v>224</v>
      </c>
      <c r="E39" s="152" t="s">
        <v>224</v>
      </c>
      <c r="F39" s="152" t="s">
        <v>224</v>
      </c>
      <c r="G39" s="152" t="s">
        <v>224</v>
      </c>
      <c r="H39" s="152" t="s">
        <v>224</v>
      </c>
      <c r="I39" s="152" t="s">
        <v>224</v>
      </c>
      <c r="J39" s="152" t="s">
        <v>224</v>
      </c>
      <c r="K39" s="152" t="s">
        <v>224</v>
      </c>
      <c r="L39" s="152" t="s">
        <v>224</v>
      </c>
      <c r="M39" s="152" t="s">
        <v>224</v>
      </c>
      <c r="N39" s="152" t="s">
        <v>224</v>
      </c>
      <c r="O39" s="152" t="s">
        <v>224</v>
      </c>
      <c r="P39" s="152" t="s">
        <v>224</v>
      </c>
      <c r="Q39" s="152" t="s">
        <v>224</v>
      </c>
      <c r="R39" s="152" t="s">
        <v>224</v>
      </c>
      <c r="S39" s="152" t="s">
        <v>224</v>
      </c>
      <c r="T39" s="152" t="s">
        <v>224</v>
      </c>
      <c r="U39" s="152" t="s">
        <v>224</v>
      </c>
      <c r="V39" s="152" t="s">
        <v>224</v>
      </c>
    </row>
    <row r="40" spans="1:54" x14ac:dyDescent="0.25">
      <c r="A40" s="152">
        <v>340174</v>
      </c>
      <c r="B40" s="152" t="s">
        <v>237</v>
      </c>
      <c r="C40" s="152" t="s">
        <v>224</v>
      </c>
      <c r="D40" s="152" t="s">
        <v>224</v>
      </c>
      <c r="E40" s="152" t="s">
        <v>224</v>
      </c>
      <c r="F40" s="152" t="s">
        <v>224</v>
      </c>
      <c r="G40" s="152" t="s">
        <v>224</v>
      </c>
      <c r="H40" s="152" t="s">
        <v>224</v>
      </c>
      <c r="I40" s="152" t="s">
        <v>224</v>
      </c>
      <c r="J40" s="152" t="s">
        <v>224</v>
      </c>
      <c r="K40" s="152" t="s">
        <v>224</v>
      </c>
      <c r="L40" s="152" t="s">
        <v>224</v>
      </c>
      <c r="M40" s="152" t="s">
        <v>224</v>
      </c>
      <c r="N40" s="152" t="s">
        <v>224</v>
      </c>
      <c r="O40" s="152" t="s">
        <v>224</v>
      </c>
    </row>
    <row r="41" spans="1:54" x14ac:dyDescent="0.25">
      <c r="A41" s="152">
        <v>340175</v>
      </c>
      <c r="B41" s="152" t="s">
        <v>237</v>
      </c>
      <c r="C41" s="152" t="s">
        <v>224</v>
      </c>
      <c r="D41" s="152" t="s">
        <v>224</v>
      </c>
      <c r="E41" s="152" t="s">
        <v>224</v>
      </c>
      <c r="F41" s="152" t="s">
        <v>224</v>
      </c>
      <c r="G41" s="152" t="s">
        <v>224</v>
      </c>
      <c r="H41" s="152" t="s">
        <v>224</v>
      </c>
      <c r="I41" s="152" t="s">
        <v>224</v>
      </c>
      <c r="J41" s="152" t="s">
        <v>224</v>
      </c>
      <c r="K41" s="152" t="s">
        <v>224</v>
      </c>
      <c r="L41" s="152" t="s">
        <v>224</v>
      </c>
      <c r="M41" s="152" t="s">
        <v>224</v>
      </c>
      <c r="N41" s="152" t="s">
        <v>224</v>
      </c>
      <c r="O41" s="152" t="s">
        <v>224</v>
      </c>
    </row>
    <row r="42" spans="1:54" x14ac:dyDescent="0.25">
      <c r="A42" s="152">
        <v>340176</v>
      </c>
      <c r="B42" s="152" t="s">
        <v>504</v>
      </c>
      <c r="C42" s="152" t="s">
        <v>224</v>
      </c>
      <c r="D42" s="152" t="s">
        <v>224</v>
      </c>
      <c r="E42" s="152" t="s">
        <v>224</v>
      </c>
      <c r="F42" s="152" t="s">
        <v>224</v>
      </c>
      <c r="G42" s="152" t="s">
        <v>224</v>
      </c>
      <c r="H42" s="152" t="s">
        <v>224</v>
      </c>
      <c r="I42" s="152" t="s">
        <v>224</v>
      </c>
      <c r="J42" s="152" t="s">
        <v>224</v>
      </c>
      <c r="K42" s="152" t="s">
        <v>224</v>
      </c>
      <c r="L42" s="152" t="s">
        <v>224</v>
      </c>
      <c r="M42" s="152" t="s">
        <v>224</v>
      </c>
      <c r="N42" s="152" t="s">
        <v>224</v>
      </c>
      <c r="O42" s="152" t="s">
        <v>224</v>
      </c>
    </row>
    <row r="43" spans="1:54" x14ac:dyDescent="0.25">
      <c r="A43" s="152">
        <v>340177</v>
      </c>
      <c r="B43" s="152" t="s">
        <v>237</v>
      </c>
      <c r="C43" s="152" t="s">
        <v>224</v>
      </c>
      <c r="D43" s="152" t="s">
        <v>224</v>
      </c>
      <c r="E43" s="152" t="s">
        <v>224</v>
      </c>
      <c r="F43" s="152" t="s">
        <v>224</v>
      </c>
      <c r="G43" s="152" t="s">
        <v>224</v>
      </c>
      <c r="H43" s="152" t="s">
        <v>224</v>
      </c>
      <c r="I43" s="152" t="s">
        <v>224</v>
      </c>
      <c r="J43" s="152" t="s">
        <v>224</v>
      </c>
      <c r="K43" s="152" t="s">
        <v>224</v>
      </c>
      <c r="L43" s="152" t="s">
        <v>224</v>
      </c>
      <c r="M43" s="152" t="s">
        <v>224</v>
      </c>
      <c r="N43" s="152" t="s">
        <v>224</v>
      </c>
      <c r="O43" s="152" t="s">
        <v>224</v>
      </c>
    </row>
    <row r="44" spans="1:54" x14ac:dyDescent="0.25">
      <c r="A44" s="152">
        <v>340178</v>
      </c>
      <c r="B44" s="152" t="s">
        <v>252</v>
      </c>
      <c r="C44" s="152" t="s">
        <v>224</v>
      </c>
      <c r="D44" s="152" t="s">
        <v>224</v>
      </c>
      <c r="E44" s="152" t="s">
        <v>224</v>
      </c>
      <c r="F44" s="152" t="s">
        <v>224</v>
      </c>
      <c r="G44" s="152" t="s">
        <v>224</v>
      </c>
      <c r="H44" s="152" t="s">
        <v>224</v>
      </c>
      <c r="I44" s="152" t="s">
        <v>224</v>
      </c>
      <c r="J44" s="152" t="s">
        <v>224</v>
      </c>
      <c r="K44" s="152" t="s">
        <v>224</v>
      </c>
      <c r="L44" s="152" t="s">
        <v>224</v>
      </c>
      <c r="M44" s="152" t="s">
        <v>224</v>
      </c>
      <c r="N44" s="152" t="s">
        <v>224</v>
      </c>
      <c r="O44" s="152" t="s">
        <v>224</v>
      </c>
      <c r="P44" s="152" t="s">
        <v>224</v>
      </c>
      <c r="Q44" s="152" t="s">
        <v>224</v>
      </c>
      <c r="R44" s="152" t="s">
        <v>224</v>
      </c>
      <c r="S44" s="152" t="s">
        <v>224</v>
      </c>
      <c r="T44" s="152" t="s">
        <v>224</v>
      </c>
      <c r="U44" s="152" t="s">
        <v>224</v>
      </c>
      <c r="V44" s="152" t="s">
        <v>224</v>
      </c>
      <c r="W44" s="152" t="s">
        <v>224</v>
      </c>
      <c r="X44" s="152" t="s">
        <v>224</v>
      </c>
      <c r="Y44" s="152" t="s">
        <v>224</v>
      </c>
      <c r="Z44" s="152" t="s">
        <v>224</v>
      </c>
      <c r="AA44" s="152" t="s">
        <v>224</v>
      </c>
      <c r="AB44" s="152" t="s">
        <v>224</v>
      </c>
      <c r="AC44" s="152" t="s">
        <v>224</v>
      </c>
      <c r="AD44" s="152" t="s">
        <v>224</v>
      </c>
      <c r="AE44" s="152" t="s">
        <v>224</v>
      </c>
      <c r="AF44" s="152" t="s">
        <v>224</v>
      </c>
      <c r="AG44" s="152" t="s">
        <v>224</v>
      </c>
      <c r="AH44" s="152" t="s">
        <v>224</v>
      </c>
      <c r="AI44" s="152" t="s">
        <v>224</v>
      </c>
      <c r="AJ44" s="152" t="s">
        <v>224</v>
      </c>
      <c r="AK44" s="152" t="s">
        <v>224</v>
      </c>
      <c r="AL44" s="152" t="s">
        <v>224</v>
      </c>
      <c r="AM44" s="152" t="s">
        <v>224</v>
      </c>
      <c r="AN44" s="152" t="s">
        <v>224</v>
      </c>
    </row>
    <row r="45" spans="1:54" x14ac:dyDescent="0.25">
      <c r="A45" s="152">
        <v>340179</v>
      </c>
      <c r="B45" s="152" t="s">
        <v>244</v>
      </c>
      <c r="C45" s="152" t="s">
        <v>224</v>
      </c>
      <c r="D45" s="152" t="s">
        <v>224</v>
      </c>
      <c r="E45" s="152" t="s">
        <v>224</v>
      </c>
      <c r="F45" s="152" t="s">
        <v>224</v>
      </c>
      <c r="G45" s="152" t="s">
        <v>224</v>
      </c>
      <c r="H45" s="152" t="s">
        <v>224</v>
      </c>
      <c r="I45" s="152" t="s">
        <v>224</v>
      </c>
      <c r="J45" s="152" t="s">
        <v>224</v>
      </c>
      <c r="K45" s="152" t="s">
        <v>224</v>
      </c>
      <c r="L45" s="152" t="s">
        <v>224</v>
      </c>
      <c r="M45" s="152" t="s">
        <v>224</v>
      </c>
      <c r="N45" s="152" t="s">
        <v>224</v>
      </c>
      <c r="O45" s="152" t="s">
        <v>224</v>
      </c>
      <c r="P45" s="152" t="s">
        <v>224</v>
      </c>
      <c r="Q45" s="152" t="s">
        <v>224</v>
      </c>
      <c r="R45" s="152" t="s">
        <v>224</v>
      </c>
      <c r="S45" s="152" t="s">
        <v>224</v>
      </c>
      <c r="T45" s="152" t="s">
        <v>224</v>
      </c>
      <c r="U45" s="152" t="s">
        <v>224</v>
      </c>
      <c r="V45" s="152" t="s">
        <v>224</v>
      </c>
      <c r="W45" s="152" t="s">
        <v>224</v>
      </c>
      <c r="X45" s="152" t="s">
        <v>224</v>
      </c>
      <c r="Y45" s="152" t="s">
        <v>224</v>
      </c>
      <c r="Z45" s="152" t="s">
        <v>224</v>
      </c>
      <c r="AA45" s="152" t="s">
        <v>224</v>
      </c>
      <c r="AB45" s="152" t="s">
        <v>224</v>
      </c>
    </row>
    <row r="46" spans="1:54" x14ac:dyDescent="0.25">
      <c r="A46" s="152">
        <v>340180</v>
      </c>
      <c r="B46" s="152" t="s">
        <v>247</v>
      </c>
      <c r="C46" s="152" t="s">
        <v>224</v>
      </c>
      <c r="D46" s="152" t="s">
        <v>224</v>
      </c>
      <c r="E46" s="152" t="s">
        <v>224</v>
      </c>
      <c r="F46" s="152" t="s">
        <v>224</v>
      </c>
      <c r="G46" s="152" t="s">
        <v>224</v>
      </c>
      <c r="H46" s="152" t="s">
        <v>224</v>
      </c>
      <c r="I46" s="152" t="s">
        <v>224</v>
      </c>
      <c r="J46" s="152" t="s">
        <v>224</v>
      </c>
      <c r="K46" s="152" t="s">
        <v>224</v>
      </c>
      <c r="L46" s="152" t="s">
        <v>224</v>
      </c>
      <c r="M46" s="152" t="s">
        <v>224</v>
      </c>
      <c r="N46" s="152" t="s">
        <v>224</v>
      </c>
      <c r="O46" s="152" t="s">
        <v>224</v>
      </c>
      <c r="P46" s="152" t="s">
        <v>224</v>
      </c>
      <c r="Q46" s="152" t="s">
        <v>224</v>
      </c>
      <c r="R46" s="152" t="s">
        <v>224</v>
      </c>
      <c r="S46" s="152" t="s">
        <v>224</v>
      </c>
      <c r="T46" s="152" t="s">
        <v>224</v>
      </c>
      <c r="U46" s="152" t="s">
        <v>224</v>
      </c>
      <c r="V46" s="152" t="s">
        <v>224</v>
      </c>
    </row>
    <row r="47" spans="1:54" x14ac:dyDescent="0.25">
      <c r="A47" s="152">
        <v>340181</v>
      </c>
      <c r="B47" s="152" t="s">
        <v>247</v>
      </c>
      <c r="C47" s="152" t="s">
        <v>224</v>
      </c>
      <c r="D47" s="152" t="s">
        <v>224</v>
      </c>
      <c r="E47" s="152" t="s">
        <v>224</v>
      </c>
      <c r="F47" s="152" t="s">
        <v>224</v>
      </c>
      <c r="G47" s="152" t="s">
        <v>224</v>
      </c>
      <c r="H47" s="152" t="s">
        <v>224</v>
      </c>
      <c r="I47" s="152" t="s">
        <v>224</v>
      </c>
      <c r="J47" s="152" t="s">
        <v>224</v>
      </c>
      <c r="K47" s="152" t="s">
        <v>224</v>
      </c>
      <c r="L47" s="152" t="s">
        <v>224</v>
      </c>
      <c r="M47" s="152" t="s">
        <v>224</v>
      </c>
      <c r="N47" s="152" t="s">
        <v>224</v>
      </c>
      <c r="O47" s="152" t="s">
        <v>224</v>
      </c>
      <c r="P47" s="152" t="s">
        <v>224</v>
      </c>
      <c r="Q47" s="152" t="s">
        <v>224</v>
      </c>
      <c r="R47" s="152" t="s">
        <v>224</v>
      </c>
      <c r="S47" s="152" t="s">
        <v>224</v>
      </c>
      <c r="T47" s="152" t="s">
        <v>224</v>
      </c>
      <c r="U47" s="152" t="s">
        <v>224</v>
      </c>
      <c r="V47" s="152" t="s">
        <v>224</v>
      </c>
    </row>
    <row r="48" spans="1:54" x14ac:dyDescent="0.25">
      <c r="A48" s="152">
        <v>340182</v>
      </c>
      <c r="B48" s="152" t="s">
        <v>244</v>
      </c>
      <c r="C48" s="152" t="s">
        <v>321</v>
      </c>
      <c r="D48" s="152" t="s">
        <v>321</v>
      </c>
      <c r="E48" s="152" t="s">
        <v>321</v>
      </c>
      <c r="F48" s="152" t="s">
        <v>321</v>
      </c>
      <c r="G48" s="152" t="s">
        <v>321</v>
      </c>
      <c r="H48" s="152" t="s">
        <v>321</v>
      </c>
      <c r="I48" s="152" t="s">
        <v>321</v>
      </c>
      <c r="J48" s="152" t="s">
        <v>321</v>
      </c>
      <c r="K48" s="152" t="s">
        <v>321</v>
      </c>
      <c r="L48" s="152" t="s">
        <v>321</v>
      </c>
      <c r="M48" s="152" t="s">
        <v>321</v>
      </c>
      <c r="N48" s="152" t="s">
        <v>321</v>
      </c>
      <c r="O48" s="152" t="s">
        <v>321</v>
      </c>
      <c r="P48" s="152" t="s">
        <v>321</v>
      </c>
      <c r="Q48" s="152" t="s">
        <v>321</v>
      </c>
      <c r="R48" s="152" t="s">
        <v>321</v>
      </c>
      <c r="S48" s="152" t="s">
        <v>321</v>
      </c>
      <c r="T48" s="152" t="s">
        <v>321</v>
      </c>
      <c r="U48" s="152" t="s">
        <v>321</v>
      </c>
      <c r="V48" s="152" t="s">
        <v>321</v>
      </c>
      <c r="W48" s="152" t="s">
        <v>321</v>
      </c>
      <c r="X48" s="152" t="s">
        <v>321</v>
      </c>
      <c r="Y48" s="152" t="s">
        <v>321</v>
      </c>
      <c r="Z48" s="152" t="s">
        <v>321</v>
      </c>
      <c r="AA48" s="152" t="s">
        <v>321</v>
      </c>
      <c r="AB48" s="152" t="s">
        <v>321</v>
      </c>
      <c r="BB48" s="152" t="s">
        <v>298</v>
      </c>
    </row>
    <row r="49" spans="1:54" x14ac:dyDescent="0.25">
      <c r="A49" s="152">
        <v>340183</v>
      </c>
      <c r="B49" s="152" t="s">
        <v>244</v>
      </c>
      <c r="C49" s="152" t="s">
        <v>321</v>
      </c>
      <c r="D49" s="152" t="s">
        <v>321</v>
      </c>
      <c r="E49" s="152" t="s">
        <v>321</v>
      </c>
      <c r="F49" s="152" t="s">
        <v>321</v>
      </c>
      <c r="G49" s="152" t="s">
        <v>321</v>
      </c>
      <c r="H49" s="152" t="s">
        <v>321</v>
      </c>
      <c r="I49" s="152" t="s">
        <v>321</v>
      </c>
      <c r="J49" s="152" t="s">
        <v>321</v>
      </c>
      <c r="K49" s="152" t="s">
        <v>321</v>
      </c>
      <c r="L49" s="152" t="s">
        <v>321</v>
      </c>
      <c r="M49" s="152" t="s">
        <v>321</v>
      </c>
      <c r="N49" s="152" t="s">
        <v>321</v>
      </c>
      <c r="O49" s="152" t="s">
        <v>321</v>
      </c>
      <c r="P49" s="152" t="s">
        <v>321</v>
      </c>
      <c r="Q49" s="152" t="s">
        <v>321</v>
      </c>
      <c r="R49" s="152" t="s">
        <v>321</v>
      </c>
      <c r="S49" s="152" t="s">
        <v>321</v>
      </c>
      <c r="T49" s="152" t="s">
        <v>321</v>
      </c>
      <c r="U49" s="152" t="s">
        <v>321</v>
      </c>
      <c r="V49" s="152" t="s">
        <v>321</v>
      </c>
      <c r="W49" s="152" t="s">
        <v>321</v>
      </c>
      <c r="X49" s="152" t="s">
        <v>321</v>
      </c>
      <c r="Y49" s="152" t="s">
        <v>321</v>
      </c>
      <c r="Z49" s="152" t="s">
        <v>321</v>
      </c>
      <c r="AA49" s="152" t="s">
        <v>321</v>
      </c>
      <c r="AB49" s="152" t="s">
        <v>321</v>
      </c>
      <c r="BB49" s="152" t="s">
        <v>298</v>
      </c>
    </row>
    <row r="50" spans="1:54" x14ac:dyDescent="0.25">
      <c r="A50" s="152">
        <v>340184</v>
      </c>
      <c r="B50" s="152" t="s">
        <v>237</v>
      </c>
      <c r="C50" s="152" t="s">
        <v>224</v>
      </c>
      <c r="D50" s="152" t="s">
        <v>224</v>
      </c>
      <c r="E50" s="152" t="s">
        <v>224</v>
      </c>
      <c r="F50" s="152" t="s">
        <v>224</v>
      </c>
      <c r="G50" s="152" t="s">
        <v>224</v>
      </c>
      <c r="H50" s="152" t="s">
        <v>224</v>
      </c>
      <c r="I50" s="152" t="s">
        <v>224</v>
      </c>
      <c r="J50" s="152" t="s">
        <v>224</v>
      </c>
      <c r="K50" s="152" t="s">
        <v>224</v>
      </c>
      <c r="L50" s="152" t="s">
        <v>224</v>
      </c>
      <c r="M50" s="152" t="s">
        <v>224</v>
      </c>
      <c r="N50" s="152" t="s">
        <v>224</v>
      </c>
      <c r="O50" s="152" t="s">
        <v>224</v>
      </c>
    </row>
    <row r="51" spans="1:54" x14ac:dyDescent="0.25">
      <c r="A51" s="152">
        <v>340185</v>
      </c>
      <c r="B51" s="152" t="s">
        <v>247</v>
      </c>
      <c r="C51" s="152" t="s">
        <v>224</v>
      </c>
      <c r="D51" s="152" t="s">
        <v>224</v>
      </c>
      <c r="E51" s="152" t="s">
        <v>224</v>
      </c>
      <c r="F51" s="152" t="s">
        <v>224</v>
      </c>
      <c r="G51" s="152" t="s">
        <v>224</v>
      </c>
      <c r="H51" s="152" t="s">
        <v>224</v>
      </c>
      <c r="I51" s="152" t="s">
        <v>224</v>
      </c>
      <c r="J51" s="152" t="s">
        <v>224</v>
      </c>
      <c r="K51" s="152" t="s">
        <v>224</v>
      </c>
      <c r="L51" s="152" t="s">
        <v>224</v>
      </c>
      <c r="M51" s="152" t="s">
        <v>224</v>
      </c>
      <c r="N51" s="152" t="s">
        <v>224</v>
      </c>
      <c r="O51" s="152" t="s">
        <v>224</v>
      </c>
      <c r="P51" s="152" t="s">
        <v>224</v>
      </c>
      <c r="Q51" s="152" t="s">
        <v>224</v>
      </c>
      <c r="R51" s="152" t="s">
        <v>224</v>
      </c>
      <c r="S51" s="152" t="s">
        <v>224</v>
      </c>
      <c r="T51" s="152" t="s">
        <v>224</v>
      </c>
      <c r="U51" s="152" t="s">
        <v>224</v>
      </c>
      <c r="V51" s="152" t="s">
        <v>224</v>
      </c>
    </row>
    <row r="52" spans="1:54" x14ac:dyDescent="0.25">
      <c r="A52" s="152">
        <v>340186</v>
      </c>
      <c r="B52" s="152" t="s">
        <v>237</v>
      </c>
      <c r="C52" s="152" t="s">
        <v>224</v>
      </c>
      <c r="D52" s="152" t="s">
        <v>224</v>
      </c>
      <c r="E52" s="152" t="s">
        <v>224</v>
      </c>
      <c r="F52" s="152" t="s">
        <v>224</v>
      </c>
      <c r="G52" s="152" t="s">
        <v>224</v>
      </c>
      <c r="H52" s="152" t="s">
        <v>224</v>
      </c>
      <c r="I52" s="152" t="s">
        <v>224</v>
      </c>
      <c r="J52" s="152" t="s">
        <v>224</v>
      </c>
      <c r="K52" s="152" t="s">
        <v>224</v>
      </c>
      <c r="L52" s="152" t="s">
        <v>224</v>
      </c>
      <c r="M52" s="152" t="s">
        <v>224</v>
      </c>
      <c r="N52" s="152" t="s">
        <v>224</v>
      </c>
      <c r="O52" s="152" t="s">
        <v>224</v>
      </c>
    </row>
    <row r="53" spans="1:54" x14ac:dyDescent="0.25">
      <c r="A53" s="152">
        <v>340187</v>
      </c>
      <c r="B53" s="152" t="s">
        <v>504</v>
      </c>
      <c r="C53" s="152" t="s">
        <v>224</v>
      </c>
      <c r="D53" s="152" t="s">
        <v>224</v>
      </c>
      <c r="E53" s="152" t="s">
        <v>224</v>
      </c>
      <c r="F53" s="152" t="s">
        <v>224</v>
      </c>
      <c r="G53" s="152" t="s">
        <v>224</v>
      </c>
      <c r="H53" s="152" t="s">
        <v>224</v>
      </c>
      <c r="I53" s="152" t="s">
        <v>224</v>
      </c>
      <c r="J53" s="152" t="s">
        <v>224</v>
      </c>
      <c r="K53" s="152" t="s">
        <v>224</v>
      </c>
      <c r="L53" s="152" t="s">
        <v>224</v>
      </c>
      <c r="M53" s="152" t="s">
        <v>224</v>
      </c>
      <c r="N53" s="152" t="s">
        <v>224</v>
      </c>
      <c r="O53" s="152" t="s">
        <v>224</v>
      </c>
    </row>
    <row r="54" spans="1:54" x14ac:dyDescent="0.25">
      <c r="A54" s="152">
        <v>340188</v>
      </c>
      <c r="B54" s="152" t="s">
        <v>254</v>
      </c>
      <c r="C54" s="152" t="s">
        <v>224</v>
      </c>
      <c r="D54" s="152" t="s">
        <v>224</v>
      </c>
      <c r="E54" s="152" t="s">
        <v>224</v>
      </c>
      <c r="F54" s="152" t="s">
        <v>224</v>
      </c>
      <c r="G54" s="152" t="s">
        <v>224</v>
      </c>
      <c r="H54" s="152" t="s">
        <v>224</v>
      </c>
      <c r="I54" s="152" t="s">
        <v>224</v>
      </c>
      <c r="J54" s="152" t="s">
        <v>224</v>
      </c>
      <c r="K54" s="152" t="s">
        <v>224</v>
      </c>
      <c r="L54" s="152" t="s">
        <v>224</v>
      </c>
      <c r="M54" s="152" t="s">
        <v>224</v>
      </c>
      <c r="N54" s="152" t="s">
        <v>224</v>
      </c>
      <c r="O54" s="152" t="s">
        <v>224</v>
      </c>
      <c r="P54" s="152" t="s">
        <v>224</v>
      </c>
      <c r="Q54" s="152" t="s">
        <v>224</v>
      </c>
      <c r="R54" s="152" t="s">
        <v>224</v>
      </c>
      <c r="S54" s="152" t="s">
        <v>224</v>
      </c>
      <c r="T54" s="152" t="s">
        <v>224</v>
      </c>
      <c r="U54" s="152" t="s">
        <v>224</v>
      </c>
      <c r="V54" s="152" t="s">
        <v>224</v>
      </c>
      <c r="W54" s="152" t="s">
        <v>224</v>
      </c>
      <c r="X54" s="152" t="s">
        <v>224</v>
      </c>
      <c r="Y54" s="152" t="s">
        <v>224</v>
      </c>
      <c r="Z54" s="152" t="s">
        <v>224</v>
      </c>
      <c r="AA54" s="152" t="s">
        <v>224</v>
      </c>
      <c r="AB54" s="152" t="s">
        <v>224</v>
      </c>
      <c r="AC54" s="152" t="s">
        <v>224</v>
      </c>
      <c r="AD54" s="152" t="s">
        <v>224</v>
      </c>
      <c r="AE54" s="152" t="s">
        <v>224</v>
      </c>
      <c r="AF54" s="152" t="s">
        <v>224</v>
      </c>
      <c r="AG54" s="152" t="s">
        <v>224</v>
      </c>
      <c r="AH54" s="152" t="s">
        <v>224</v>
      </c>
    </row>
    <row r="55" spans="1:54" x14ac:dyDescent="0.25">
      <c r="A55" s="152">
        <v>340189</v>
      </c>
      <c r="B55" s="152" t="s">
        <v>237</v>
      </c>
      <c r="C55" s="152" t="s">
        <v>224</v>
      </c>
      <c r="D55" s="152" t="s">
        <v>224</v>
      </c>
      <c r="E55" s="152" t="s">
        <v>224</v>
      </c>
      <c r="F55" s="152" t="s">
        <v>224</v>
      </c>
      <c r="G55" s="152" t="s">
        <v>224</v>
      </c>
      <c r="H55" s="152" t="s">
        <v>224</v>
      </c>
      <c r="I55" s="152" t="s">
        <v>224</v>
      </c>
      <c r="J55" s="152" t="s">
        <v>224</v>
      </c>
      <c r="K55" s="152" t="s">
        <v>224</v>
      </c>
      <c r="L55" s="152" t="s">
        <v>224</v>
      </c>
      <c r="M55" s="152" t="s">
        <v>224</v>
      </c>
      <c r="N55" s="152" t="s">
        <v>224</v>
      </c>
      <c r="O55" s="152" t="s">
        <v>224</v>
      </c>
    </row>
    <row r="56" spans="1:54" x14ac:dyDescent="0.25">
      <c r="A56" s="152">
        <v>340190</v>
      </c>
      <c r="B56" s="152" t="s">
        <v>244</v>
      </c>
      <c r="C56" s="152" t="s">
        <v>224</v>
      </c>
      <c r="D56" s="152" t="s">
        <v>224</v>
      </c>
      <c r="E56" s="152" t="s">
        <v>224</v>
      </c>
      <c r="F56" s="152" t="s">
        <v>224</v>
      </c>
      <c r="G56" s="152" t="s">
        <v>224</v>
      </c>
      <c r="H56" s="152" t="s">
        <v>224</v>
      </c>
      <c r="I56" s="152" t="s">
        <v>224</v>
      </c>
      <c r="J56" s="152" t="s">
        <v>224</v>
      </c>
      <c r="K56" s="152" t="s">
        <v>224</v>
      </c>
      <c r="L56" s="152" t="s">
        <v>224</v>
      </c>
      <c r="M56" s="152" t="s">
        <v>224</v>
      </c>
      <c r="N56" s="152" t="s">
        <v>224</v>
      </c>
      <c r="O56" s="152" t="s">
        <v>224</v>
      </c>
      <c r="P56" s="152" t="s">
        <v>224</v>
      </c>
      <c r="Q56" s="152" t="s">
        <v>224</v>
      </c>
      <c r="R56" s="152" t="s">
        <v>224</v>
      </c>
      <c r="S56" s="152" t="s">
        <v>224</v>
      </c>
      <c r="T56" s="152" t="s">
        <v>224</v>
      </c>
      <c r="U56" s="152" t="s">
        <v>224</v>
      </c>
      <c r="V56" s="152" t="s">
        <v>224</v>
      </c>
      <c r="W56" s="152" t="s">
        <v>224</v>
      </c>
      <c r="X56" s="152" t="s">
        <v>224</v>
      </c>
      <c r="Y56" s="152" t="s">
        <v>224</v>
      </c>
      <c r="Z56" s="152" t="s">
        <v>224</v>
      </c>
      <c r="AA56" s="152" t="s">
        <v>224</v>
      </c>
      <c r="AB56" s="152" t="s">
        <v>224</v>
      </c>
    </row>
    <row r="57" spans="1:54" x14ac:dyDescent="0.25">
      <c r="A57" s="152">
        <v>340191</v>
      </c>
      <c r="B57" s="152" t="s">
        <v>237</v>
      </c>
      <c r="C57" s="152" t="s">
        <v>224</v>
      </c>
      <c r="D57" s="152" t="s">
        <v>224</v>
      </c>
      <c r="E57" s="152" t="s">
        <v>224</v>
      </c>
      <c r="F57" s="152" t="s">
        <v>224</v>
      </c>
      <c r="G57" s="152" t="s">
        <v>224</v>
      </c>
      <c r="H57" s="152" t="s">
        <v>224</v>
      </c>
      <c r="I57" s="152" t="s">
        <v>224</v>
      </c>
      <c r="J57" s="152" t="s">
        <v>224</v>
      </c>
      <c r="K57" s="152" t="s">
        <v>224</v>
      </c>
      <c r="L57" s="152" t="s">
        <v>224</v>
      </c>
      <c r="M57" s="152" t="s">
        <v>224</v>
      </c>
      <c r="N57" s="152" t="s">
        <v>224</v>
      </c>
      <c r="O57" s="152" t="s">
        <v>224</v>
      </c>
    </row>
    <row r="58" spans="1:54" x14ac:dyDescent="0.25">
      <c r="A58" s="152">
        <v>340192</v>
      </c>
      <c r="B58" s="152" t="s">
        <v>237</v>
      </c>
      <c r="C58" s="152" t="s">
        <v>224</v>
      </c>
      <c r="D58" s="152" t="s">
        <v>224</v>
      </c>
      <c r="E58" s="152" t="s">
        <v>224</v>
      </c>
      <c r="F58" s="152" t="s">
        <v>224</v>
      </c>
      <c r="G58" s="152" t="s">
        <v>224</v>
      </c>
      <c r="H58" s="152" t="s">
        <v>224</v>
      </c>
      <c r="I58" s="152" t="s">
        <v>224</v>
      </c>
      <c r="J58" s="152" t="s">
        <v>224</v>
      </c>
      <c r="K58" s="152" t="s">
        <v>224</v>
      </c>
      <c r="L58" s="152" t="s">
        <v>224</v>
      </c>
      <c r="M58" s="152" t="s">
        <v>224</v>
      </c>
      <c r="N58" s="152" t="s">
        <v>224</v>
      </c>
      <c r="O58" s="152" t="s">
        <v>224</v>
      </c>
    </row>
    <row r="59" spans="1:54" x14ac:dyDescent="0.25">
      <c r="A59" s="152">
        <v>340193</v>
      </c>
      <c r="B59" s="152" t="s">
        <v>244</v>
      </c>
      <c r="C59" s="152" t="s">
        <v>224</v>
      </c>
      <c r="D59" s="152" t="s">
        <v>224</v>
      </c>
      <c r="E59" s="152" t="s">
        <v>224</v>
      </c>
      <c r="F59" s="152" t="s">
        <v>224</v>
      </c>
      <c r="G59" s="152" t="s">
        <v>224</v>
      </c>
      <c r="H59" s="152" t="s">
        <v>224</v>
      </c>
      <c r="I59" s="152" t="s">
        <v>224</v>
      </c>
      <c r="J59" s="152" t="s">
        <v>224</v>
      </c>
      <c r="K59" s="152" t="s">
        <v>224</v>
      </c>
      <c r="L59" s="152" t="s">
        <v>224</v>
      </c>
      <c r="M59" s="152" t="s">
        <v>224</v>
      </c>
      <c r="N59" s="152" t="s">
        <v>224</v>
      </c>
      <c r="O59" s="152" t="s">
        <v>224</v>
      </c>
      <c r="P59" s="152" t="s">
        <v>224</v>
      </c>
      <c r="Q59" s="152" t="s">
        <v>224</v>
      </c>
      <c r="R59" s="152" t="s">
        <v>224</v>
      </c>
      <c r="S59" s="152" t="s">
        <v>224</v>
      </c>
      <c r="T59" s="152" t="s">
        <v>224</v>
      </c>
      <c r="U59" s="152" t="s">
        <v>224</v>
      </c>
      <c r="V59" s="152" t="s">
        <v>224</v>
      </c>
      <c r="W59" s="152" t="s">
        <v>224</v>
      </c>
      <c r="X59" s="152" t="s">
        <v>224</v>
      </c>
      <c r="Y59" s="152" t="s">
        <v>224</v>
      </c>
      <c r="Z59" s="152" t="s">
        <v>224</v>
      </c>
      <c r="AA59" s="152" t="s">
        <v>224</v>
      </c>
      <c r="AB59" s="152" t="s">
        <v>224</v>
      </c>
    </row>
    <row r="60" spans="1:54" x14ac:dyDescent="0.25">
      <c r="A60" s="152">
        <v>340194</v>
      </c>
      <c r="B60" s="152" t="s">
        <v>247</v>
      </c>
      <c r="C60" s="152" t="s">
        <v>224</v>
      </c>
      <c r="D60" s="152" t="s">
        <v>224</v>
      </c>
      <c r="E60" s="152" t="s">
        <v>224</v>
      </c>
      <c r="F60" s="152" t="s">
        <v>224</v>
      </c>
      <c r="G60" s="152" t="s">
        <v>224</v>
      </c>
      <c r="H60" s="152" t="s">
        <v>224</v>
      </c>
      <c r="I60" s="152" t="s">
        <v>224</v>
      </c>
      <c r="J60" s="152" t="s">
        <v>224</v>
      </c>
      <c r="K60" s="152" t="s">
        <v>224</v>
      </c>
      <c r="L60" s="152" t="s">
        <v>224</v>
      </c>
      <c r="M60" s="152" t="s">
        <v>224</v>
      </c>
      <c r="N60" s="152" t="s">
        <v>224</v>
      </c>
      <c r="O60" s="152" t="s">
        <v>224</v>
      </c>
      <c r="P60" s="152" t="s">
        <v>224</v>
      </c>
      <c r="Q60" s="152" t="s">
        <v>224</v>
      </c>
      <c r="R60" s="152" t="s">
        <v>224</v>
      </c>
      <c r="S60" s="152" t="s">
        <v>224</v>
      </c>
      <c r="T60" s="152" t="s">
        <v>224</v>
      </c>
      <c r="U60" s="152" t="s">
        <v>224</v>
      </c>
      <c r="V60" s="152" t="s">
        <v>224</v>
      </c>
    </row>
    <row r="61" spans="1:54" x14ac:dyDescent="0.25">
      <c r="A61" s="152">
        <v>340195</v>
      </c>
      <c r="B61" s="152" t="s">
        <v>257</v>
      </c>
      <c r="C61" s="152" t="s">
        <v>321</v>
      </c>
      <c r="D61" s="152" t="s">
        <v>321</v>
      </c>
      <c r="E61" s="152" t="s">
        <v>321</v>
      </c>
      <c r="F61" s="152" t="s">
        <v>321</v>
      </c>
      <c r="G61" s="152" t="s">
        <v>321</v>
      </c>
      <c r="H61" s="152" t="s">
        <v>321</v>
      </c>
      <c r="I61" s="152" t="s">
        <v>321</v>
      </c>
      <c r="J61" s="152" t="s">
        <v>321</v>
      </c>
      <c r="K61" s="152" t="s">
        <v>321</v>
      </c>
      <c r="L61" s="152" t="s">
        <v>321</v>
      </c>
      <c r="M61" s="152" t="s">
        <v>321</v>
      </c>
      <c r="N61" s="152" t="s">
        <v>321</v>
      </c>
      <c r="O61" s="152" t="s">
        <v>321</v>
      </c>
      <c r="P61" s="152" t="s">
        <v>321</v>
      </c>
      <c r="Q61" s="152" t="s">
        <v>321</v>
      </c>
      <c r="R61" s="152" t="s">
        <v>321</v>
      </c>
      <c r="S61" s="152" t="s">
        <v>321</v>
      </c>
      <c r="T61" s="152" t="s">
        <v>321</v>
      </c>
      <c r="U61" s="152" t="s">
        <v>321</v>
      </c>
      <c r="V61" s="152" t="s">
        <v>321</v>
      </c>
      <c r="W61" s="152" t="s">
        <v>321</v>
      </c>
      <c r="X61" s="152" t="s">
        <v>321</v>
      </c>
      <c r="Y61" s="152" t="s">
        <v>321</v>
      </c>
      <c r="Z61" s="152" t="s">
        <v>321</v>
      </c>
      <c r="AA61" s="152" t="s">
        <v>321</v>
      </c>
      <c r="AB61" s="152" t="s">
        <v>321</v>
      </c>
      <c r="AC61" s="152" t="s">
        <v>321</v>
      </c>
      <c r="AD61" s="152" t="s">
        <v>321</v>
      </c>
      <c r="AE61" s="152" t="s">
        <v>321</v>
      </c>
      <c r="AF61" s="152" t="s">
        <v>321</v>
      </c>
      <c r="AG61" s="152" t="s">
        <v>321</v>
      </c>
      <c r="AH61" s="152" t="s">
        <v>321</v>
      </c>
      <c r="AI61" s="152" t="s">
        <v>321</v>
      </c>
      <c r="AJ61" s="152" t="s">
        <v>321</v>
      </c>
      <c r="AK61" s="152" t="s">
        <v>321</v>
      </c>
      <c r="AL61" s="152" t="s">
        <v>321</v>
      </c>
      <c r="AM61" s="152" t="s">
        <v>321</v>
      </c>
      <c r="AN61" s="152" t="s">
        <v>321</v>
      </c>
      <c r="AO61" s="152" t="s">
        <v>321</v>
      </c>
      <c r="AP61" s="152" t="s">
        <v>321</v>
      </c>
      <c r="AQ61" s="152" t="s">
        <v>321</v>
      </c>
      <c r="AR61" s="152" t="s">
        <v>321</v>
      </c>
      <c r="AS61" s="152" t="s">
        <v>321</v>
      </c>
      <c r="AT61" s="152" t="s">
        <v>321</v>
      </c>
      <c r="AU61" s="152" t="s">
        <v>321</v>
      </c>
      <c r="AV61" s="152" t="s">
        <v>321</v>
      </c>
      <c r="AW61" s="152" t="s">
        <v>321</v>
      </c>
      <c r="AX61" s="152" t="s">
        <v>321</v>
      </c>
      <c r="AY61" s="152" t="s">
        <v>321</v>
      </c>
      <c r="AZ61" s="152" t="s">
        <v>321</v>
      </c>
      <c r="BB61" s="152" t="s">
        <v>298</v>
      </c>
    </row>
    <row r="62" spans="1:54" x14ac:dyDescent="0.25">
      <c r="A62" s="152">
        <v>340196</v>
      </c>
      <c r="B62" s="152" t="s">
        <v>504</v>
      </c>
      <c r="C62" s="152" t="s">
        <v>224</v>
      </c>
      <c r="D62" s="152" t="s">
        <v>224</v>
      </c>
      <c r="E62" s="152" t="s">
        <v>224</v>
      </c>
      <c r="F62" s="152" t="s">
        <v>224</v>
      </c>
      <c r="G62" s="152" t="s">
        <v>224</v>
      </c>
      <c r="H62" s="152" t="s">
        <v>224</v>
      </c>
      <c r="I62" s="152" t="s">
        <v>224</v>
      </c>
      <c r="J62" s="152" t="s">
        <v>224</v>
      </c>
      <c r="K62" s="152" t="s">
        <v>224</v>
      </c>
      <c r="L62" s="152" t="s">
        <v>224</v>
      </c>
      <c r="M62" s="152" t="s">
        <v>224</v>
      </c>
      <c r="N62" s="152" t="s">
        <v>224</v>
      </c>
      <c r="O62" s="152" t="s">
        <v>224</v>
      </c>
    </row>
    <row r="63" spans="1:54" x14ac:dyDescent="0.25">
      <c r="A63" s="152">
        <v>340197</v>
      </c>
      <c r="B63" s="152" t="s">
        <v>244</v>
      </c>
      <c r="C63" s="152" t="s">
        <v>321</v>
      </c>
      <c r="D63" s="152" t="s">
        <v>321</v>
      </c>
      <c r="E63" s="152" t="s">
        <v>321</v>
      </c>
      <c r="F63" s="152" t="s">
        <v>321</v>
      </c>
      <c r="G63" s="152" t="s">
        <v>321</v>
      </c>
      <c r="H63" s="152" t="s">
        <v>321</v>
      </c>
      <c r="I63" s="152" t="s">
        <v>321</v>
      </c>
      <c r="J63" s="152" t="s">
        <v>321</v>
      </c>
      <c r="K63" s="152" t="s">
        <v>321</v>
      </c>
      <c r="L63" s="152" t="s">
        <v>321</v>
      </c>
      <c r="M63" s="152" t="s">
        <v>321</v>
      </c>
      <c r="N63" s="152" t="s">
        <v>321</v>
      </c>
      <c r="O63" s="152" t="s">
        <v>321</v>
      </c>
      <c r="P63" s="152" t="s">
        <v>321</v>
      </c>
      <c r="Q63" s="152" t="s">
        <v>321</v>
      </c>
      <c r="R63" s="152" t="s">
        <v>321</v>
      </c>
      <c r="S63" s="152" t="s">
        <v>321</v>
      </c>
      <c r="T63" s="152" t="s">
        <v>321</v>
      </c>
      <c r="U63" s="152" t="s">
        <v>321</v>
      </c>
      <c r="V63" s="152" t="s">
        <v>321</v>
      </c>
      <c r="W63" s="152" t="s">
        <v>321</v>
      </c>
      <c r="X63" s="152" t="s">
        <v>321</v>
      </c>
      <c r="Y63" s="152" t="s">
        <v>321</v>
      </c>
      <c r="Z63" s="152" t="s">
        <v>321</v>
      </c>
      <c r="AA63" s="152" t="s">
        <v>321</v>
      </c>
      <c r="AB63" s="152" t="s">
        <v>321</v>
      </c>
      <c r="BB63" s="152" t="s">
        <v>298</v>
      </c>
    </row>
    <row r="64" spans="1:54" x14ac:dyDescent="0.25">
      <c r="A64" s="152">
        <v>340198</v>
      </c>
      <c r="B64" s="152" t="s">
        <v>244</v>
      </c>
      <c r="C64" s="152" t="s">
        <v>321</v>
      </c>
      <c r="D64" s="152" t="s">
        <v>321</v>
      </c>
      <c r="E64" s="152" t="s">
        <v>321</v>
      </c>
      <c r="F64" s="152" t="s">
        <v>321</v>
      </c>
      <c r="G64" s="152" t="s">
        <v>321</v>
      </c>
      <c r="H64" s="152" t="s">
        <v>321</v>
      </c>
      <c r="I64" s="152" t="s">
        <v>321</v>
      </c>
      <c r="J64" s="152" t="s">
        <v>321</v>
      </c>
      <c r="K64" s="152" t="s">
        <v>321</v>
      </c>
      <c r="L64" s="152" t="s">
        <v>321</v>
      </c>
      <c r="M64" s="152" t="s">
        <v>321</v>
      </c>
      <c r="N64" s="152" t="s">
        <v>321</v>
      </c>
      <c r="O64" s="152" t="s">
        <v>321</v>
      </c>
      <c r="P64" s="152" t="s">
        <v>321</v>
      </c>
      <c r="Q64" s="152" t="s">
        <v>321</v>
      </c>
      <c r="R64" s="152" t="s">
        <v>321</v>
      </c>
      <c r="S64" s="152" t="s">
        <v>321</v>
      </c>
      <c r="T64" s="152" t="s">
        <v>321</v>
      </c>
      <c r="U64" s="152" t="s">
        <v>321</v>
      </c>
      <c r="V64" s="152" t="s">
        <v>321</v>
      </c>
      <c r="W64" s="152" t="s">
        <v>321</v>
      </c>
      <c r="X64" s="152" t="s">
        <v>321</v>
      </c>
      <c r="Y64" s="152" t="s">
        <v>321</v>
      </c>
      <c r="Z64" s="152" t="s">
        <v>321</v>
      </c>
      <c r="AA64" s="152" t="s">
        <v>321</v>
      </c>
      <c r="AB64" s="152" t="s">
        <v>321</v>
      </c>
      <c r="BB64" s="152" t="s">
        <v>298</v>
      </c>
    </row>
    <row r="65" spans="1:54" x14ac:dyDescent="0.25">
      <c r="A65" s="152">
        <v>340199</v>
      </c>
      <c r="B65" s="152" t="s">
        <v>237</v>
      </c>
      <c r="C65" s="152" t="s">
        <v>224</v>
      </c>
      <c r="D65" s="152" t="s">
        <v>224</v>
      </c>
      <c r="E65" s="152" t="s">
        <v>224</v>
      </c>
      <c r="F65" s="152" t="s">
        <v>224</v>
      </c>
      <c r="G65" s="152" t="s">
        <v>224</v>
      </c>
      <c r="H65" s="152" t="s">
        <v>224</v>
      </c>
      <c r="I65" s="152" t="s">
        <v>224</v>
      </c>
      <c r="J65" s="152" t="s">
        <v>224</v>
      </c>
      <c r="K65" s="152" t="s">
        <v>224</v>
      </c>
      <c r="L65" s="152" t="s">
        <v>224</v>
      </c>
      <c r="M65" s="152" t="s">
        <v>224</v>
      </c>
      <c r="N65" s="152" t="s">
        <v>224</v>
      </c>
      <c r="O65" s="152" t="s">
        <v>224</v>
      </c>
    </row>
    <row r="66" spans="1:54" x14ac:dyDescent="0.25">
      <c r="A66" s="152">
        <v>340200</v>
      </c>
      <c r="B66" s="152" t="s">
        <v>237</v>
      </c>
      <c r="C66" s="152" t="s">
        <v>224</v>
      </c>
      <c r="D66" s="152" t="s">
        <v>224</v>
      </c>
      <c r="E66" s="152" t="s">
        <v>224</v>
      </c>
      <c r="F66" s="152" t="s">
        <v>224</v>
      </c>
      <c r="G66" s="152" t="s">
        <v>224</v>
      </c>
      <c r="H66" s="152" t="s">
        <v>224</v>
      </c>
      <c r="I66" s="152" t="s">
        <v>224</v>
      </c>
      <c r="J66" s="152" t="s">
        <v>224</v>
      </c>
      <c r="K66" s="152" t="s">
        <v>224</v>
      </c>
      <c r="L66" s="152" t="s">
        <v>224</v>
      </c>
      <c r="M66" s="152" t="s">
        <v>224</v>
      </c>
      <c r="N66" s="152" t="s">
        <v>224</v>
      </c>
      <c r="O66" s="152" t="s">
        <v>224</v>
      </c>
    </row>
    <row r="67" spans="1:54" x14ac:dyDescent="0.25">
      <c r="A67" s="152">
        <v>340201</v>
      </c>
      <c r="B67" s="152" t="s">
        <v>254</v>
      </c>
      <c r="C67" s="152" t="s">
        <v>224</v>
      </c>
      <c r="D67" s="152" t="s">
        <v>224</v>
      </c>
      <c r="E67" s="152" t="s">
        <v>224</v>
      </c>
      <c r="F67" s="152" t="s">
        <v>224</v>
      </c>
      <c r="G67" s="152" t="s">
        <v>224</v>
      </c>
      <c r="H67" s="152" t="s">
        <v>224</v>
      </c>
      <c r="I67" s="152" t="s">
        <v>224</v>
      </c>
      <c r="J67" s="152" t="s">
        <v>224</v>
      </c>
      <c r="K67" s="152" t="s">
        <v>224</v>
      </c>
      <c r="L67" s="152" t="s">
        <v>224</v>
      </c>
      <c r="M67" s="152" t="s">
        <v>224</v>
      </c>
      <c r="N67" s="152" t="s">
        <v>224</v>
      </c>
      <c r="O67" s="152" t="s">
        <v>224</v>
      </c>
      <c r="P67" s="152" t="s">
        <v>224</v>
      </c>
      <c r="Q67" s="152" t="s">
        <v>224</v>
      </c>
      <c r="R67" s="152" t="s">
        <v>224</v>
      </c>
      <c r="S67" s="152" t="s">
        <v>224</v>
      </c>
      <c r="T67" s="152" t="s">
        <v>224</v>
      </c>
      <c r="U67" s="152" t="s">
        <v>224</v>
      </c>
      <c r="V67" s="152" t="s">
        <v>224</v>
      </c>
      <c r="W67" s="152" t="s">
        <v>224</v>
      </c>
      <c r="X67" s="152" t="s">
        <v>224</v>
      </c>
      <c r="Y67" s="152" t="s">
        <v>224</v>
      </c>
      <c r="Z67" s="152" t="s">
        <v>224</v>
      </c>
      <c r="AA67" s="152" t="s">
        <v>224</v>
      </c>
      <c r="AB67" s="152" t="s">
        <v>224</v>
      </c>
      <c r="AC67" s="152" t="s">
        <v>224</v>
      </c>
      <c r="AD67" s="152" t="s">
        <v>224</v>
      </c>
      <c r="AE67" s="152" t="s">
        <v>224</v>
      </c>
      <c r="AF67" s="152" t="s">
        <v>224</v>
      </c>
      <c r="AG67" s="152" t="s">
        <v>224</v>
      </c>
      <c r="AH67" s="152" t="s">
        <v>224</v>
      </c>
    </row>
    <row r="68" spans="1:54" x14ac:dyDescent="0.25">
      <c r="A68" s="152">
        <v>340202</v>
      </c>
      <c r="B68" s="152" t="s">
        <v>252</v>
      </c>
      <c r="C68" s="152" t="s">
        <v>224</v>
      </c>
      <c r="D68" s="152" t="s">
        <v>224</v>
      </c>
      <c r="E68" s="152" t="s">
        <v>224</v>
      </c>
      <c r="F68" s="152" t="s">
        <v>224</v>
      </c>
      <c r="G68" s="152" t="s">
        <v>224</v>
      </c>
      <c r="H68" s="152" t="s">
        <v>224</v>
      </c>
      <c r="I68" s="152" t="s">
        <v>224</v>
      </c>
      <c r="J68" s="152" t="s">
        <v>224</v>
      </c>
      <c r="K68" s="152" t="s">
        <v>224</v>
      </c>
      <c r="L68" s="152" t="s">
        <v>224</v>
      </c>
      <c r="M68" s="152" t="s">
        <v>224</v>
      </c>
      <c r="N68" s="152" t="s">
        <v>224</v>
      </c>
      <c r="O68" s="152" t="s">
        <v>224</v>
      </c>
      <c r="P68" s="152" t="s">
        <v>224</v>
      </c>
      <c r="Q68" s="152" t="s">
        <v>224</v>
      </c>
      <c r="R68" s="152" t="s">
        <v>224</v>
      </c>
      <c r="S68" s="152" t="s">
        <v>224</v>
      </c>
      <c r="T68" s="152" t="s">
        <v>224</v>
      </c>
      <c r="U68" s="152" t="s">
        <v>224</v>
      </c>
      <c r="V68" s="152" t="s">
        <v>224</v>
      </c>
      <c r="W68" s="152" t="s">
        <v>224</v>
      </c>
      <c r="X68" s="152" t="s">
        <v>224</v>
      </c>
      <c r="Y68" s="152" t="s">
        <v>224</v>
      </c>
      <c r="Z68" s="152" t="s">
        <v>224</v>
      </c>
      <c r="AA68" s="152" t="s">
        <v>224</v>
      </c>
      <c r="AB68" s="152" t="s">
        <v>224</v>
      </c>
      <c r="AC68" s="152" t="s">
        <v>224</v>
      </c>
      <c r="AD68" s="152" t="s">
        <v>224</v>
      </c>
      <c r="AE68" s="152" t="s">
        <v>224</v>
      </c>
      <c r="AF68" s="152" t="s">
        <v>224</v>
      </c>
      <c r="AG68" s="152" t="s">
        <v>224</v>
      </c>
      <c r="AH68" s="152" t="s">
        <v>224</v>
      </c>
      <c r="AI68" s="152" t="s">
        <v>224</v>
      </c>
      <c r="AJ68" s="152" t="s">
        <v>224</v>
      </c>
      <c r="AK68" s="152" t="s">
        <v>224</v>
      </c>
      <c r="AL68" s="152" t="s">
        <v>224</v>
      </c>
      <c r="AM68" s="152" t="s">
        <v>224</v>
      </c>
      <c r="AN68" s="152" t="s">
        <v>224</v>
      </c>
    </row>
    <row r="69" spans="1:54" x14ac:dyDescent="0.25">
      <c r="A69" s="152">
        <v>340203</v>
      </c>
      <c r="B69" s="152" t="s">
        <v>237</v>
      </c>
      <c r="C69" s="152" t="s">
        <v>224</v>
      </c>
      <c r="D69" s="152" t="s">
        <v>224</v>
      </c>
      <c r="E69" s="152" t="s">
        <v>224</v>
      </c>
      <c r="F69" s="152" t="s">
        <v>224</v>
      </c>
      <c r="G69" s="152" t="s">
        <v>224</v>
      </c>
      <c r="H69" s="152" t="s">
        <v>224</v>
      </c>
      <c r="I69" s="152" t="s">
        <v>224</v>
      </c>
      <c r="J69" s="152" t="s">
        <v>224</v>
      </c>
      <c r="K69" s="152" t="s">
        <v>224</v>
      </c>
      <c r="L69" s="152" t="s">
        <v>224</v>
      </c>
      <c r="M69" s="152" t="s">
        <v>224</v>
      </c>
      <c r="N69" s="152" t="s">
        <v>224</v>
      </c>
      <c r="O69" s="152" t="s">
        <v>224</v>
      </c>
    </row>
    <row r="70" spans="1:54" x14ac:dyDescent="0.25">
      <c r="A70" s="152">
        <v>340204</v>
      </c>
      <c r="B70" s="152" t="s">
        <v>244</v>
      </c>
      <c r="C70" s="152" t="s">
        <v>224</v>
      </c>
      <c r="D70" s="152" t="s">
        <v>224</v>
      </c>
      <c r="E70" s="152" t="s">
        <v>224</v>
      </c>
      <c r="F70" s="152" t="s">
        <v>224</v>
      </c>
      <c r="G70" s="152" t="s">
        <v>224</v>
      </c>
      <c r="H70" s="152" t="s">
        <v>224</v>
      </c>
      <c r="I70" s="152" t="s">
        <v>224</v>
      </c>
      <c r="J70" s="152" t="s">
        <v>224</v>
      </c>
      <c r="K70" s="152" t="s">
        <v>224</v>
      </c>
      <c r="L70" s="152" t="s">
        <v>224</v>
      </c>
      <c r="M70" s="152" t="s">
        <v>224</v>
      </c>
      <c r="N70" s="152" t="s">
        <v>224</v>
      </c>
      <c r="O70" s="152" t="s">
        <v>224</v>
      </c>
      <c r="P70" s="152" t="s">
        <v>224</v>
      </c>
      <c r="Q70" s="152" t="s">
        <v>224</v>
      </c>
      <c r="R70" s="152" t="s">
        <v>224</v>
      </c>
      <c r="S70" s="152" t="s">
        <v>224</v>
      </c>
      <c r="T70" s="152" t="s">
        <v>224</v>
      </c>
      <c r="U70" s="152" t="s">
        <v>224</v>
      </c>
      <c r="V70" s="152" t="s">
        <v>224</v>
      </c>
      <c r="W70" s="152" t="s">
        <v>224</v>
      </c>
      <c r="X70" s="152" t="s">
        <v>224</v>
      </c>
      <c r="Y70" s="152" t="s">
        <v>224</v>
      </c>
      <c r="Z70" s="152" t="s">
        <v>224</v>
      </c>
      <c r="AA70" s="152" t="s">
        <v>224</v>
      </c>
      <c r="AB70" s="152" t="s">
        <v>224</v>
      </c>
    </row>
    <row r="71" spans="1:54" x14ac:dyDescent="0.25">
      <c r="A71" s="152">
        <v>340205</v>
      </c>
      <c r="B71" s="152" t="s">
        <v>237</v>
      </c>
      <c r="C71" s="152" t="s">
        <v>224</v>
      </c>
      <c r="D71" s="152" t="s">
        <v>224</v>
      </c>
      <c r="E71" s="152" t="s">
        <v>224</v>
      </c>
      <c r="F71" s="152" t="s">
        <v>224</v>
      </c>
      <c r="G71" s="152" t="s">
        <v>224</v>
      </c>
      <c r="H71" s="152" t="s">
        <v>224</v>
      </c>
      <c r="I71" s="152" t="s">
        <v>224</v>
      </c>
      <c r="J71" s="152" t="s">
        <v>224</v>
      </c>
      <c r="K71" s="152" t="s">
        <v>224</v>
      </c>
      <c r="L71" s="152" t="s">
        <v>224</v>
      </c>
      <c r="M71" s="152" t="s">
        <v>224</v>
      </c>
      <c r="N71" s="152" t="s">
        <v>224</v>
      </c>
      <c r="O71" s="152" t="s">
        <v>224</v>
      </c>
    </row>
    <row r="72" spans="1:54" x14ac:dyDescent="0.25">
      <c r="A72" s="152">
        <v>340206</v>
      </c>
      <c r="B72" s="152" t="s">
        <v>504</v>
      </c>
      <c r="C72" s="152" t="s">
        <v>224</v>
      </c>
      <c r="D72" s="152" t="s">
        <v>224</v>
      </c>
      <c r="E72" s="152" t="s">
        <v>224</v>
      </c>
      <c r="F72" s="152" t="s">
        <v>224</v>
      </c>
      <c r="G72" s="152" t="s">
        <v>224</v>
      </c>
      <c r="H72" s="152" t="s">
        <v>224</v>
      </c>
      <c r="I72" s="152" t="s">
        <v>224</v>
      </c>
      <c r="J72" s="152" t="s">
        <v>224</v>
      </c>
      <c r="K72" s="152" t="s">
        <v>224</v>
      </c>
      <c r="L72" s="152" t="s">
        <v>224</v>
      </c>
      <c r="M72" s="152" t="s">
        <v>224</v>
      </c>
      <c r="N72" s="152" t="s">
        <v>224</v>
      </c>
      <c r="O72" s="152" t="s">
        <v>224</v>
      </c>
    </row>
    <row r="73" spans="1:54" x14ac:dyDescent="0.25">
      <c r="A73" s="152">
        <v>340207</v>
      </c>
      <c r="B73" s="152" t="s">
        <v>237</v>
      </c>
      <c r="C73" s="152" t="s">
        <v>224</v>
      </c>
      <c r="D73" s="152" t="s">
        <v>224</v>
      </c>
      <c r="E73" s="152" t="s">
        <v>224</v>
      </c>
      <c r="F73" s="152" t="s">
        <v>224</v>
      </c>
      <c r="G73" s="152" t="s">
        <v>224</v>
      </c>
      <c r="H73" s="152" t="s">
        <v>224</v>
      </c>
      <c r="I73" s="152" t="s">
        <v>224</v>
      </c>
      <c r="J73" s="152" t="s">
        <v>224</v>
      </c>
      <c r="K73" s="152" t="s">
        <v>224</v>
      </c>
      <c r="L73" s="152" t="s">
        <v>224</v>
      </c>
      <c r="M73" s="152" t="s">
        <v>224</v>
      </c>
      <c r="N73" s="152" t="s">
        <v>224</v>
      </c>
      <c r="O73" s="152" t="s">
        <v>224</v>
      </c>
    </row>
    <row r="74" spans="1:54" x14ac:dyDescent="0.25">
      <c r="A74" s="152">
        <v>340208</v>
      </c>
      <c r="B74" s="152" t="s">
        <v>247</v>
      </c>
      <c r="C74" s="152" t="s">
        <v>224</v>
      </c>
      <c r="D74" s="152" t="s">
        <v>224</v>
      </c>
      <c r="E74" s="152" t="s">
        <v>224</v>
      </c>
      <c r="F74" s="152" t="s">
        <v>224</v>
      </c>
      <c r="G74" s="152" t="s">
        <v>224</v>
      </c>
      <c r="H74" s="152" t="s">
        <v>224</v>
      </c>
      <c r="I74" s="152" t="s">
        <v>224</v>
      </c>
      <c r="J74" s="152" t="s">
        <v>224</v>
      </c>
      <c r="K74" s="152" t="s">
        <v>224</v>
      </c>
      <c r="L74" s="152" t="s">
        <v>224</v>
      </c>
      <c r="M74" s="152" t="s">
        <v>224</v>
      </c>
      <c r="N74" s="152" t="s">
        <v>224</v>
      </c>
      <c r="O74" s="152" t="s">
        <v>224</v>
      </c>
      <c r="P74" s="152" t="s">
        <v>224</v>
      </c>
      <c r="Q74" s="152" t="s">
        <v>224</v>
      </c>
      <c r="R74" s="152" t="s">
        <v>224</v>
      </c>
      <c r="S74" s="152" t="s">
        <v>224</v>
      </c>
      <c r="T74" s="152" t="s">
        <v>224</v>
      </c>
      <c r="U74" s="152" t="s">
        <v>224</v>
      </c>
      <c r="V74" s="152" t="s">
        <v>224</v>
      </c>
    </row>
    <row r="75" spans="1:54" x14ac:dyDescent="0.25">
      <c r="A75" s="152">
        <v>340135</v>
      </c>
      <c r="B75" s="152" t="s">
        <v>257</v>
      </c>
      <c r="C75" s="152" t="s">
        <v>321</v>
      </c>
      <c r="D75" s="152" t="s">
        <v>321</v>
      </c>
      <c r="E75" s="152" t="s">
        <v>321</v>
      </c>
      <c r="F75" s="152" t="s">
        <v>321</v>
      </c>
      <c r="G75" s="152" t="s">
        <v>321</v>
      </c>
      <c r="H75" s="152" t="s">
        <v>321</v>
      </c>
      <c r="I75" s="152" t="s">
        <v>321</v>
      </c>
      <c r="J75" s="152" t="s">
        <v>321</v>
      </c>
      <c r="K75" s="152" t="s">
        <v>321</v>
      </c>
      <c r="L75" s="152" t="s">
        <v>321</v>
      </c>
      <c r="M75" s="152" t="s">
        <v>321</v>
      </c>
      <c r="N75" s="152" t="s">
        <v>321</v>
      </c>
      <c r="O75" s="152" t="s">
        <v>321</v>
      </c>
      <c r="P75" s="152" t="s">
        <v>321</v>
      </c>
      <c r="Q75" s="152" t="s">
        <v>321</v>
      </c>
      <c r="R75" s="152" t="s">
        <v>321</v>
      </c>
      <c r="S75" s="152" t="s">
        <v>321</v>
      </c>
      <c r="T75" s="152" t="s">
        <v>321</v>
      </c>
      <c r="U75" s="152" t="s">
        <v>321</v>
      </c>
      <c r="V75" s="152" t="s">
        <v>321</v>
      </c>
      <c r="W75" s="152" t="s">
        <v>321</v>
      </c>
      <c r="X75" s="152" t="s">
        <v>321</v>
      </c>
      <c r="Y75" s="152" t="s">
        <v>321</v>
      </c>
      <c r="Z75" s="152" t="s">
        <v>321</v>
      </c>
      <c r="AA75" s="152" t="s">
        <v>321</v>
      </c>
      <c r="AB75" s="152" t="s">
        <v>321</v>
      </c>
      <c r="AC75" s="152" t="s">
        <v>321</v>
      </c>
      <c r="AD75" s="152" t="s">
        <v>321</v>
      </c>
      <c r="AE75" s="152" t="s">
        <v>321</v>
      </c>
      <c r="AF75" s="152" t="s">
        <v>321</v>
      </c>
      <c r="AG75" s="152" t="s">
        <v>321</v>
      </c>
      <c r="AH75" s="152" t="s">
        <v>321</v>
      </c>
      <c r="AI75" s="152" t="s">
        <v>321</v>
      </c>
      <c r="AJ75" s="152" t="s">
        <v>321</v>
      </c>
      <c r="AK75" s="152" t="s">
        <v>321</v>
      </c>
      <c r="AL75" s="152" t="s">
        <v>321</v>
      </c>
      <c r="AM75" s="152" t="s">
        <v>321</v>
      </c>
      <c r="AN75" s="152" t="s">
        <v>321</v>
      </c>
      <c r="AO75" s="152" t="s">
        <v>321</v>
      </c>
      <c r="AP75" s="152" t="s">
        <v>321</v>
      </c>
      <c r="AQ75" s="152" t="s">
        <v>321</v>
      </c>
      <c r="AR75" s="152" t="s">
        <v>321</v>
      </c>
      <c r="AS75" s="152" t="s">
        <v>321</v>
      </c>
      <c r="AT75" s="152" t="s">
        <v>321</v>
      </c>
      <c r="AU75" s="152" t="s">
        <v>321</v>
      </c>
      <c r="AV75" s="152" t="s">
        <v>321</v>
      </c>
      <c r="AW75" s="152" t="s">
        <v>321</v>
      </c>
      <c r="AX75" s="152" t="s">
        <v>321</v>
      </c>
      <c r="AY75" s="152" t="s">
        <v>321</v>
      </c>
      <c r="AZ75" s="152" t="s">
        <v>321</v>
      </c>
      <c r="BB75" s="152" t="s">
        <v>298</v>
      </c>
    </row>
    <row r="76" spans="1:54" x14ac:dyDescent="0.25">
      <c r="A76" s="152">
        <v>340209</v>
      </c>
      <c r="B76" s="152" t="s">
        <v>237</v>
      </c>
      <c r="C76" s="152" t="s">
        <v>224</v>
      </c>
      <c r="D76" s="152" t="s">
        <v>224</v>
      </c>
      <c r="E76" s="152" t="s">
        <v>224</v>
      </c>
      <c r="F76" s="152" t="s">
        <v>224</v>
      </c>
      <c r="G76" s="152" t="s">
        <v>224</v>
      </c>
      <c r="H76" s="152" t="s">
        <v>224</v>
      </c>
      <c r="I76" s="152" t="s">
        <v>224</v>
      </c>
      <c r="J76" s="152" t="s">
        <v>224</v>
      </c>
      <c r="K76" s="152" t="s">
        <v>224</v>
      </c>
      <c r="L76" s="152" t="s">
        <v>224</v>
      </c>
      <c r="M76" s="152" t="s">
        <v>224</v>
      </c>
      <c r="N76" s="152" t="s">
        <v>224</v>
      </c>
      <c r="O76" s="152" t="s">
        <v>224</v>
      </c>
    </row>
    <row r="77" spans="1:54" x14ac:dyDescent="0.25">
      <c r="A77" s="152">
        <v>340210</v>
      </c>
      <c r="B77" s="152" t="s">
        <v>237</v>
      </c>
      <c r="C77" s="152" t="s">
        <v>224</v>
      </c>
      <c r="D77" s="152" t="s">
        <v>224</v>
      </c>
      <c r="E77" s="152" t="s">
        <v>224</v>
      </c>
      <c r="F77" s="152" t="s">
        <v>224</v>
      </c>
      <c r="G77" s="152" t="s">
        <v>224</v>
      </c>
      <c r="H77" s="152" t="s">
        <v>224</v>
      </c>
      <c r="I77" s="152" t="s">
        <v>224</v>
      </c>
      <c r="J77" s="152" t="s">
        <v>224</v>
      </c>
      <c r="K77" s="152" t="s">
        <v>224</v>
      </c>
      <c r="L77" s="152" t="s">
        <v>224</v>
      </c>
      <c r="M77" s="152" t="s">
        <v>224</v>
      </c>
      <c r="N77" s="152" t="s">
        <v>224</v>
      </c>
      <c r="O77" s="152" t="s">
        <v>224</v>
      </c>
    </row>
  </sheetData>
  <autoFilter ref="A1:BB77" xr:uid="{00000000-0001-0000-0500-000000000000}"/>
  <conditionalFormatting sqref="A2:A69">
    <cfRule type="duplicateValues" dxfId="6" priority="5"/>
  </conditionalFormatting>
  <conditionalFormatting sqref="A70:A263">
    <cfRule type="duplicateValues" dxfId="5" priority="4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Z3475"/>
  <sheetViews>
    <sheetView rightToLeft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ColWidth="9" defaultRowHeight="13.8" x14ac:dyDescent="0.25"/>
  <cols>
    <col min="1" max="1" width="11.796875" style="152" bestFit="1" customWidth="1"/>
    <col min="2" max="2" width="22.796875" style="152" bestFit="1" customWidth="1"/>
    <col min="3" max="3" width="12.796875" style="152" bestFit="1" customWidth="1"/>
    <col min="4" max="4" width="15.69921875" style="152" bestFit="1" customWidth="1"/>
    <col min="5" max="5" width="9" style="152"/>
    <col min="6" max="6" width="17.69921875" style="152" bestFit="1" customWidth="1"/>
    <col min="7" max="7" width="24.09765625" style="152" bestFit="1" customWidth="1"/>
    <col min="8" max="8" width="11.8984375" style="242" bestFit="1" customWidth="1"/>
    <col min="9" max="9" width="9" style="152"/>
    <col min="10" max="10" width="10.59765625" style="152" bestFit="1" customWidth="1"/>
    <col min="11" max="11" width="11.09765625" style="152" bestFit="1" customWidth="1"/>
    <col min="12" max="12" width="13.19921875" style="152" bestFit="1" customWidth="1"/>
    <col min="13" max="13" width="9.296875" style="152" customWidth="1"/>
    <col min="14" max="14" width="15.3984375" style="152" bestFit="1" customWidth="1"/>
    <col min="15" max="15" width="15.69921875" style="152" bestFit="1" customWidth="1"/>
    <col min="16" max="17" width="9" style="152"/>
    <col min="18" max="18" width="9.8984375" style="152" bestFit="1" customWidth="1"/>
    <col min="19" max="16384" width="9" style="152"/>
  </cols>
  <sheetData>
    <row r="1" spans="1:26" x14ac:dyDescent="0.25">
      <c r="A1" s="152">
        <v>1</v>
      </c>
      <c r="B1" s="152">
        <v>2</v>
      </c>
      <c r="C1" s="152">
        <v>3</v>
      </c>
      <c r="D1" s="152">
        <v>4</v>
      </c>
      <c r="E1" s="152">
        <v>5</v>
      </c>
      <c r="F1" s="152">
        <v>6</v>
      </c>
      <c r="G1" s="152">
        <v>7</v>
      </c>
      <c r="H1" s="152">
        <v>8</v>
      </c>
      <c r="I1" s="152">
        <v>9</v>
      </c>
      <c r="J1" s="152">
        <v>10</v>
      </c>
      <c r="K1" s="152">
        <v>11</v>
      </c>
      <c r="L1" s="152">
        <v>12</v>
      </c>
      <c r="M1" s="152">
        <v>13</v>
      </c>
      <c r="N1" s="152">
        <v>14</v>
      </c>
      <c r="O1" s="152">
        <v>15</v>
      </c>
      <c r="P1" s="152">
        <v>16</v>
      </c>
      <c r="Q1" s="152">
        <v>17</v>
      </c>
      <c r="R1" s="152">
        <v>18</v>
      </c>
      <c r="S1" s="152">
        <v>19</v>
      </c>
      <c r="T1" s="152">
        <v>20</v>
      </c>
      <c r="U1" s="152">
        <v>21</v>
      </c>
      <c r="V1" s="152">
        <v>22</v>
      </c>
      <c r="W1" s="152">
        <v>23</v>
      </c>
      <c r="X1" s="152">
        <v>24</v>
      </c>
      <c r="Y1" s="152">
        <v>25</v>
      </c>
      <c r="Z1" s="152">
        <v>26</v>
      </c>
    </row>
    <row r="2" spans="1:26" s="239" customFormat="1" x14ac:dyDescent="0.25">
      <c r="A2" s="239" t="s">
        <v>289</v>
      </c>
      <c r="B2" s="239" t="s">
        <v>290</v>
      </c>
      <c r="C2" s="239" t="s">
        <v>49</v>
      </c>
      <c r="D2" s="239" t="s">
        <v>50</v>
      </c>
      <c r="E2" s="239" t="s">
        <v>11</v>
      </c>
      <c r="F2" s="240" t="s">
        <v>51</v>
      </c>
      <c r="G2" s="239" t="s">
        <v>6</v>
      </c>
      <c r="H2" s="241" t="s">
        <v>10</v>
      </c>
      <c r="I2" s="241" t="s">
        <v>9</v>
      </c>
      <c r="J2" s="241" t="s">
        <v>12</v>
      </c>
      <c r="K2" s="239" t="s">
        <v>249</v>
      </c>
      <c r="L2" s="241" t="s">
        <v>291</v>
      </c>
      <c r="M2" s="239" t="s">
        <v>233</v>
      </c>
      <c r="N2" s="239" t="s">
        <v>71</v>
      </c>
      <c r="O2" s="239" t="s">
        <v>292</v>
      </c>
      <c r="P2" s="239" t="s">
        <v>15</v>
      </c>
      <c r="Q2" s="239" t="s">
        <v>106</v>
      </c>
      <c r="R2" s="239" t="s">
        <v>107</v>
      </c>
      <c r="S2" s="239" t="s">
        <v>57</v>
      </c>
      <c r="T2" s="239" t="s">
        <v>108</v>
      </c>
      <c r="U2" s="239" t="s">
        <v>44</v>
      </c>
      <c r="V2" s="239" t="s">
        <v>293</v>
      </c>
      <c r="W2" s="239" t="s">
        <v>294</v>
      </c>
      <c r="X2" s="239" t="s">
        <v>295</v>
      </c>
      <c r="Y2" s="239" t="s">
        <v>296</v>
      </c>
      <c r="Z2" s="239" t="s">
        <v>297</v>
      </c>
    </row>
    <row r="3" spans="1:26" ht="17.399999999999999" x14ac:dyDescent="0.25">
      <c r="A3" s="246">
        <v>340136</v>
      </c>
      <c r="B3" s="246" t="s">
        <v>344</v>
      </c>
      <c r="C3" s="246" t="s">
        <v>345</v>
      </c>
      <c r="D3" s="246" t="s">
        <v>346</v>
      </c>
      <c r="E3" s="244"/>
      <c r="F3" s="244"/>
      <c r="G3" s="244"/>
      <c r="H3" s="244"/>
      <c r="I3" s="245" t="s">
        <v>247</v>
      </c>
      <c r="J3" s="244"/>
    </row>
    <row r="4" spans="1:26" ht="17.399999999999999" x14ac:dyDescent="0.25">
      <c r="A4" s="246">
        <v>340137</v>
      </c>
      <c r="B4" s="246" t="s">
        <v>347</v>
      </c>
      <c r="C4" s="246" t="s">
        <v>329</v>
      </c>
      <c r="D4" s="246" t="s">
        <v>348</v>
      </c>
      <c r="E4" s="244"/>
      <c r="F4" s="244"/>
      <c r="G4" s="244"/>
      <c r="H4" s="244"/>
      <c r="I4" s="245" t="s">
        <v>237</v>
      </c>
      <c r="J4" s="244"/>
    </row>
    <row r="5" spans="1:26" ht="17.399999999999999" x14ac:dyDescent="0.25">
      <c r="A5" s="246">
        <v>340138</v>
      </c>
      <c r="B5" s="246" t="s">
        <v>349</v>
      </c>
      <c r="C5" s="246" t="s">
        <v>350</v>
      </c>
      <c r="D5" s="246" t="s">
        <v>351</v>
      </c>
      <c r="E5" s="244"/>
      <c r="F5" s="244"/>
      <c r="G5" s="244"/>
      <c r="H5" s="244"/>
      <c r="I5" s="245" t="s">
        <v>237</v>
      </c>
      <c r="J5" s="244"/>
    </row>
    <row r="6" spans="1:26" ht="17.399999999999999" x14ac:dyDescent="0.25">
      <c r="A6" s="246">
        <v>340139</v>
      </c>
      <c r="B6" s="246" t="s">
        <v>352</v>
      </c>
      <c r="C6" s="246" t="s">
        <v>353</v>
      </c>
      <c r="D6" s="246" t="s">
        <v>322</v>
      </c>
      <c r="E6" s="244"/>
      <c r="F6" s="244"/>
      <c r="G6" s="244"/>
      <c r="H6" s="244"/>
      <c r="I6" s="245" t="s">
        <v>247</v>
      </c>
      <c r="J6" s="244"/>
    </row>
    <row r="7" spans="1:26" ht="17.399999999999999" x14ac:dyDescent="0.25">
      <c r="A7" s="246">
        <v>340140</v>
      </c>
      <c r="B7" s="246" t="s">
        <v>354</v>
      </c>
      <c r="C7" s="246" t="s">
        <v>198</v>
      </c>
      <c r="D7" s="246" t="s">
        <v>355</v>
      </c>
      <c r="E7" s="244"/>
      <c r="F7" s="244"/>
      <c r="G7" s="244"/>
      <c r="H7" s="244"/>
      <c r="I7" s="245" t="s">
        <v>244</v>
      </c>
      <c r="J7" s="244"/>
    </row>
    <row r="8" spans="1:26" ht="17.399999999999999" x14ac:dyDescent="0.25">
      <c r="A8" s="246">
        <v>340141</v>
      </c>
      <c r="B8" s="246" t="s">
        <v>356</v>
      </c>
      <c r="C8" s="246" t="s">
        <v>198</v>
      </c>
      <c r="D8" s="246" t="s">
        <v>357</v>
      </c>
      <c r="E8" s="244"/>
      <c r="F8" s="244"/>
      <c r="G8" s="244"/>
      <c r="H8" s="244"/>
      <c r="I8" s="245" t="s">
        <v>244</v>
      </c>
      <c r="J8" s="244" t="s">
        <v>298</v>
      </c>
    </row>
    <row r="9" spans="1:26" ht="17.399999999999999" x14ac:dyDescent="0.25">
      <c r="A9" s="246">
        <v>340142</v>
      </c>
      <c r="B9" s="246" t="s">
        <v>358</v>
      </c>
      <c r="C9" s="246" t="s">
        <v>202</v>
      </c>
      <c r="D9" s="246" t="s">
        <v>359</v>
      </c>
      <c r="E9" s="244"/>
      <c r="F9" s="244"/>
      <c r="G9" s="244"/>
      <c r="H9" s="244"/>
      <c r="I9" s="245" t="s">
        <v>244</v>
      </c>
      <c r="J9" s="244"/>
    </row>
    <row r="10" spans="1:26" ht="17.399999999999999" x14ac:dyDescent="0.25">
      <c r="A10" s="246">
        <v>340143</v>
      </c>
      <c r="B10" s="246" t="s">
        <v>360</v>
      </c>
      <c r="C10" s="246" t="s">
        <v>204</v>
      </c>
      <c r="D10" s="246" t="s">
        <v>361</v>
      </c>
      <c r="E10" s="244"/>
      <c r="F10" s="244"/>
      <c r="G10" s="244"/>
      <c r="H10" s="244"/>
      <c r="I10" s="245" t="s">
        <v>247</v>
      </c>
      <c r="J10" s="244"/>
    </row>
    <row r="11" spans="1:26" ht="17.399999999999999" x14ac:dyDescent="0.25">
      <c r="A11" s="246">
        <v>340144</v>
      </c>
      <c r="B11" s="246" t="s">
        <v>362</v>
      </c>
      <c r="C11" s="246" t="s">
        <v>363</v>
      </c>
      <c r="D11" s="246" t="s">
        <v>364</v>
      </c>
      <c r="E11" s="244"/>
      <c r="F11" s="244"/>
      <c r="G11" s="244"/>
      <c r="H11" s="244"/>
      <c r="I11" s="245" t="s">
        <v>504</v>
      </c>
      <c r="J11" s="244"/>
    </row>
    <row r="12" spans="1:26" ht="17.399999999999999" x14ac:dyDescent="0.25">
      <c r="A12" s="246">
        <v>340145</v>
      </c>
      <c r="B12" s="246" t="s">
        <v>365</v>
      </c>
      <c r="C12" s="246" t="s">
        <v>366</v>
      </c>
      <c r="D12" s="246" t="s">
        <v>367</v>
      </c>
      <c r="E12" s="244"/>
      <c r="F12" s="244"/>
      <c r="G12" s="244"/>
      <c r="H12" s="244"/>
      <c r="I12" s="245" t="s">
        <v>237</v>
      </c>
      <c r="J12" s="244"/>
    </row>
    <row r="13" spans="1:26" ht="17.399999999999999" x14ac:dyDescent="0.25">
      <c r="A13" s="246">
        <v>340146</v>
      </c>
      <c r="B13" s="246" t="s">
        <v>368</v>
      </c>
      <c r="C13" s="246" t="s">
        <v>369</v>
      </c>
      <c r="D13" s="246" t="s">
        <v>207</v>
      </c>
      <c r="E13" s="244"/>
      <c r="F13" s="244"/>
      <c r="G13" s="244"/>
      <c r="H13" s="244"/>
      <c r="I13" s="245" t="s">
        <v>237</v>
      </c>
      <c r="J13" s="244"/>
    </row>
    <row r="14" spans="1:26" ht="17.399999999999999" x14ac:dyDescent="0.25">
      <c r="A14" s="246">
        <v>340147</v>
      </c>
      <c r="B14" s="246" t="s">
        <v>370</v>
      </c>
      <c r="C14" s="246" t="s">
        <v>371</v>
      </c>
      <c r="D14" s="246" t="s">
        <v>327</v>
      </c>
      <c r="E14" s="244"/>
      <c r="F14" s="244"/>
      <c r="G14" s="244"/>
      <c r="H14" s="244"/>
      <c r="I14" s="245" t="s">
        <v>237</v>
      </c>
      <c r="J14" s="244"/>
    </row>
    <row r="15" spans="1:26" ht="17.399999999999999" x14ac:dyDescent="0.25">
      <c r="A15" s="246">
        <v>340148</v>
      </c>
      <c r="B15" s="246" t="s">
        <v>372</v>
      </c>
      <c r="C15" s="246" t="s">
        <v>320</v>
      </c>
      <c r="D15" s="246" t="s">
        <v>373</v>
      </c>
      <c r="E15" s="244"/>
      <c r="F15" s="244"/>
      <c r="G15" s="244"/>
      <c r="H15" s="244"/>
      <c r="I15" s="245" t="s">
        <v>237</v>
      </c>
      <c r="J15" s="244"/>
    </row>
    <row r="16" spans="1:26" ht="17.399999999999999" x14ac:dyDescent="0.25">
      <c r="A16" s="246">
        <v>340149</v>
      </c>
      <c r="B16" s="246" t="s">
        <v>374</v>
      </c>
      <c r="C16" s="246" t="s">
        <v>209</v>
      </c>
      <c r="D16" s="246" t="s">
        <v>208</v>
      </c>
      <c r="E16" s="244"/>
      <c r="F16" s="244"/>
      <c r="G16" s="244"/>
      <c r="H16" s="244"/>
      <c r="I16" s="245" t="s">
        <v>252</v>
      </c>
      <c r="J16" s="244" t="s">
        <v>298</v>
      </c>
    </row>
    <row r="17" spans="1:10" ht="17.399999999999999" x14ac:dyDescent="0.25">
      <c r="A17" s="246">
        <v>340150</v>
      </c>
      <c r="B17" s="246" t="s">
        <v>375</v>
      </c>
      <c r="C17" s="246" t="s">
        <v>376</v>
      </c>
      <c r="D17" s="246" t="s">
        <v>377</v>
      </c>
      <c r="E17" s="244"/>
      <c r="F17" s="244"/>
      <c r="G17" s="244"/>
      <c r="H17" s="244"/>
      <c r="I17" s="245" t="s">
        <v>247</v>
      </c>
      <c r="J17" s="244"/>
    </row>
    <row r="18" spans="1:10" ht="17.399999999999999" x14ac:dyDescent="0.25">
      <c r="A18" s="246">
        <v>340151</v>
      </c>
      <c r="B18" s="246" t="s">
        <v>378</v>
      </c>
      <c r="C18" s="246" t="s">
        <v>333</v>
      </c>
      <c r="D18" s="246" t="s">
        <v>379</v>
      </c>
      <c r="E18" s="244"/>
      <c r="F18" s="244"/>
      <c r="G18" s="244"/>
      <c r="H18" s="244"/>
      <c r="I18" s="245" t="s">
        <v>244</v>
      </c>
      <c r="J18" s="244"/>
    </row>
    <row r="19" spans="1:10" ht="17.399999999999999" x14ac:dyDescent="0.25">
      <c r="A19" s="246">
        <v>340152</v>
      </c>
      <c r="B19" s="246" t="s">
        <v>380</v>
      </c>
      <c r="C19" s="246" t="s">
        <v>319</v>
      </c>
      <c r="D19" s="246" t="s">
        <v>381</v>
      </c>
      <c r="E19" s="244"/>
      <c r="F19" s="244"/>
      <c r="G19" s="244"/>
      <c r="H19" s="244"/>
      <c r="I19" s="245" t="s">
        <v>257</v>
      </c>
      <c r="J19" s="244" t="s">
        <v>298</v>
      </c>
    </row>
    <row r="20" spans="1:10" ht="17.399999999999999" x14ac:dyDescent="0.25">
      <c r="A20" s="246">
        <v>340153</v>
      </c>
      <c r="B20" s="246" t="s">
        <v>382</v>
      </c>
      <c r="C20" s="246" t="s">
        <v>340</v>
      </c>
      <c r="D20" s="246" t="s">
        <v>383</v>
      </c>
      <c r="E20" s="244"/>
      <c r="F20" s="244"/>
      <c r="G20" s="244"/>
      <c r="H20" s="244"/>
      <c r="I20" s="245" t="s">
        <v>504</v>
      </c>
      <c r="J20" s="244"/>
    </row>
    <row r="21" spans="1:10" ht="17.399999999999999" x14ac:dyDescent="0.25">
      <c r="A21" s="246">
        <v>340154</v>
      </c>
      <c r="B21" s="246" t="s">
        <v>384</v>
      </c>
      <c r="C21" s="246" t="s">
        <v>337</v>
      </c>
      <c r="D21" s="246" t="s">
        <v>385</v>
      </c>
      <c r="E21" s="244"/>
      <c r="F21" s="244"/>
      <c r="G21" s="244"/>
      <c r="H21" s="244"/>
      <c r="I21" s="245" t="s">
        <v>237</v>
      </c>
      <c r="J21" s="244"/>
    </row>
    <row r="22" spans="1:10" ht="17.399999999999999" x14ac:dyDescent="0.25">
      <c r="A22" s="246">
        <v>340155</v>
      </c>
      <c r="B22" s="246" t="s">
        <v>386</v>
      </c>
      <c r="C22" s="246" t="s">
        <v>387</v>
      </c>
      <c r="D22" s="246" t="s">
        <v>388</v>
      </c>
      <c r="E22" s="244"/>
      <c r="F22" s="244"/>
      <c r="G22" s="244"/>
      <c r="H22" s="244"/>
      <c r="I22" s="245" t="s">
        <v>247</v>
      </c>
      <c r="J22" s="244"/>
    </row>
    <row r="23" spans="1:10" ht="17.399999999999999" x14ac:dyDescent="0.25">
      <c r="A23" s="246">
        <v>340156</v>
      </c>
      <c r="B23" s="246" t="s">
        <v>389</v>
      </c>
      <c r="C23" s="246" t="s">
        <v>390</v>
      </c>
      <c r="D23" s="246" t="s">
        <v>391</v>
      </c>
      <c r="E23" s="244"/>
      <c r="F23" s="244"/>
      <c r="G23" s="244"/>
      <c r="H23" s="244"/>
      <c r="I23" s="245" t="s">
        <v>244</v>
      </c>
      <c r="J23" s="244"/>
    </row>
    <row r="24" spans="1:10" ht="17.399999999999999" x14ac:dyDescent="0.25">
      <c r="A24" s="246">
        <v>340157</v>
      </c>
      <c r="B24" s="246" t="s">
        <v>392</v>
      </c>
      <c r="C24" s="246" t="s">
        <v>393</v>
      </c>
      <c r="D24" s="246" t="s">
        <v>348</v>
      </c>
      <c r="E24" s="244"/>
      <c r="F24" s="244"/>
      <c r="G24" s="244"/>
      <c r="H24" s="244"/>
      <c r="I24" s="245" t="s">
        <v>505</v>
      </c>
      <c r="J24" s="244"/>
    </row>
    <row r="25" spans="1:10" ht="17.399999999999999" x14ac:dyDescent="0.25">
      <c r="A25" s="246">
        <v>340158</v>
      </c>
      <c r="B25" s="246" t="s">
        <v>394</v>
      </c>
      <c r="C25" s="246" t="s">
        <v>395</v>
      </c>
      <c r="D25" s="246" t="s">
        <v>396</v>
      </c>
      <c r="E25" s="244"/>
      <c r="F25" s="244"/>
      <c r="G25" s="244"/>
      <c r="H25" s="244"/>
      <c r="I25" s="245" t="s">
        <v>504</v>
      </c>
      <c r="J25" s="244"/>
    </row>
    <row r="26" spans="1:10" ht="17.399999999999999" x14ac:dyDescent="0.25">
      <c r="A26" s="246">
        <v>340159</v>
      </c>
      <c r="B26" s="246" t="s">
        <v>397</v>
      </c>
      <c r="C26" s="246" t="s">
        <v>398</v>
      </c>
      <c r="D26" s="246" t="s">
        <v>399</v>
      </c>
      <c r="E26" s="244"/>
      <c r="F26" s="244"/>
      <c r="G26" s="244"/>
      <c r="H26" s="244"/>
      <c r="I26" s="245" t="s">
        <v>247</v>
      </c>
      <c r="J26" s="244"/>
    </row>
    <row r="27" spans="1:10" ht="17.399999999999999" x14ac:dyDescent="0.25">
      <c r="A27" s="246">
        <v>340160</v>
      </c>
      <c r="B27" s="246" t="s">
        <v>334</v>
      </c>
      <c r="C27" s="246" t="s">
        <v>335</v>
      </c>
      <c r="D27" s="246" t="s">
        <v>336</v>
      </c>
      <c r="E27" s="244"/>
      <c r="F27" s="244"/>
      <c r="G27" s="244"/>
      <c r="H27" s="244"/>
      <c r="I27" s="245" t="s">
        <v>252</v>
      </c>
      <c r="J27" s="244"/>
    </row>
    <row r="28" spans="1:10" ht="17.399999999999999" x14ac:dyDescent="0.25">
      <c r="A28" s="246">
        <v>340161</v>
      </c>
      <c r="B28" s="246" t="s">
        <v>400</v>
      </c>
      <c r="C28" s="246" t="s">
        <v>401</v>
      </c>
      <c r="D28" s="246" t="s">
        <v>326</v>
      </c>
      <c r="E28" s="244"/>
      <c r="F28" s="244"/>
      <c r="G28" s="244"/>
      <c r="H28" s="244"/>
      <c r="I28" s="245" t="s">
        <v>504</v>
      </c>
      <c r="J28" s="244"/>
    </row>
    <row r="29" spans="1:10" ht="17.399999999999999" x14ac:dyDescent="0.25">
      <c r="A29" s="246">
        <v>340162</v>
      </c>
      <c r="B29" s="246" t="s">
        <v>402</v>
      </c>
      <c r="C29" s="246" t="s">
        <v>201</v>
      </c>
      <c r="D29" s="246" t="s">
        <v>403</v>
      </c>
      <c r="E29" s="244"/>
      <c r="F29" s="244"/>
      <c r="G29" s="244"/>
      <c r="H29" s="244"/>
      <c r="I29" s="245" t="s">
        <v>244</v>
      </c>
      <c r="J29" s="244"/>
    </row>
    <row r="30" spans="1:10" ht="17.399999999999999" x14ac:dyDescent="0.25">
      <c r="A30" s="246">
        <v>340163</v>
      </c>
      <c r="B30" s="246" t="s">
        <v>404</v>
      </c>
      <c r="C30" s="246" t="s">
        <v>204</v>
      </c>
      <c r="D30" s="246" t="s">
        <v>324</v>
      </c>
      <c r="E30" s="244"/>
      <c r="F30" s="244"/>
      <c r="G30" s="244"/>
      <c r="H30" s="244"/>
      <c r="I30" s="245" t="s">
        <v>244</v>
      </c>
      <c r="J30" s="244"/>
    </row>
    <row r="31" spans="1:10" ht="17.399999999999999" x14ac:dyDescent="0.25">
      <c r="A31" s="246">
        <v>340164</v>
      </c>
      <c r="B31" s="246" t="s">
        <v>405</v>
      </c>
      <c r="C31" s="246" t="s">
        <v>406</v>
      </c>
      <c r="D31" s="246" t="s">
        <v>348</v>
      </c>
      <c r="E31" s="244"/>
      <c r="F31" s="244"/>
      <c r="G31" s="244"/>
      <c r="H31" s="244"/>
      <c r="I31" s="245" t="s">
        <v>252</v>
      </c>
      <c r="J31" s="244"/>
    </row>
    <row r="32" spans="1:10" ht="17.399999999999999" x14ac:dyDescent="0.25">
      <c r="A32" s="246">
        <v>340165</v>
      </c>
      <c r="B32" s="246" t="s">
        <v>407</v>
      </c>
      <c r="C32" s="246" t="s">
        <v>408</v>
      </c>
      <c r="D32" s="246" t="s">
        <v>328</v>
      </c>
      <c r="E32" s="244"/>
      <c r="F32" s="244"/>
      <c r="G32" s="244"/>
      <c r="H32" s="244"/>
      <c r="I32" s="245" t="s">
        <v>247</v>
      </c>
      <c r="J32" s="244"/>
    </row>
    <row r="33" spans="1:10" ht="17.399999999999999" x14ac:dyDescent="0.25">
      <c r="A33" s="246">
        <v>340166</v>
      </c>
      <c r="B33" s="246" t="s">
        <v>409</v>
      </c>
      <c r="C33" s="246" t="s">
        <v>203</v>
      </c>
      <c r="D33" s="246" t="s">
        <v>410</v>
      </c>
      <c r="E33" s="244"/>
      <c r="F33" s="244"/>
      <c r="G33" s="244"/>
      <c r="H33" s="244"/>
      <c r="I33" s="245" t="s">
        <v>247</v>
      </c>
      <c r="J33" s="244"/>
    </row>
    <row r="34" spans="1:10" ht="17.399999999999999" x14ac:dyDescent="0.25">
      <c r="A34" s="246">
        <v>340167</v>
      </c>
      <c r="B34" s="246" t="s">
        <v>411</v>
      </c>
      <c r="C34" s="246" t="s">
        <v>412</v>
      </c>
      <c r="D34" s="246" t="s">
        <v>413</v>
      </c>
      <c r="E34" s="244"/>
      <c r="F34" s="244"/>
      <c r="G34" s="244"/>
      <c r="H34" s="244"/>
      <c r="I34" s="245" t="s">
        <v>244</v>
      </c>
      <c r="J34" s="244"/>
    </row>
    <row r="35" spans="1:10" ht="17.399999999999999" x14ac:dyDescent="0.25">
      <c r="A35" s="246">
        <v>340168</v>
      </c>
      <c r="B35" s="246" t="s">
        <v>414</v>
      </c>
      <c r="C35" s="246" t="s">
        <v>415</v>
      </c>
      <c r="D35" s="246" t="s">
        <v>330</v>
      </c>
      <c r="E35" s="244"/>
      <c r="F35" s="244"/>
      <c r="G35" s="244"/>
      <c r="H35" s="244"/>
      <c r="I35" s="245" t="s">
        <v>237</v>
      </c>
      <c r="J35" s="244"/>
    </row>
    <row r="36" spans="1:10" ht="17.399999999999999" x14ac:dyDescent="0.25">
      <c r="A36" s="246">
        <v>340169</v>
      </c>
      <c r="B36" s="246" t="s">
        <v>416</v>
      </c>
      <c r="C36" s="246" t="s">
        <v>417</v>
      </c>
      <c r="D36" s="246" t="s">
        <v>418</v>
      </c>
      <c r="E36" s="244"/>
      <c r="F36" s="244"/>
      <c r="G36" s="244"/>
      <c r="H36" s="244"/>
      <c r="I36" s="245" t="s">
        <v>260</v>
      </c>
      <c r="J36" s="244"/>
    </row>
    <row r="37" spans="1:10" ht="17.399999999999999" x14ac:dyDescent="0.25">
      <c r="A37" s="246">
        <v>340170</v>
      </c>
      <c r="B37" s="246" t="s">
        <v>419</v>
      </c>
      <c r="C37" s="246" t="s">
        <v>420</v>
      </c>
      <c r="D37" s="246" t="s">
        <v>421</v>
      </c>
      <c r="E37" s="244"/>
      <c r="F37" s="244"/>
      <c r="G37" s="244"/>
      <c r="H37" s="244"/>
      <c r="I37" s="245" t="s">
        <v>244</v>
      </c>
      <c r="J37" s="244"/>
    </row>
    <row r="38" spans="1:10" ht="17.399999999999999" x14ac:dyDescent="0.25">
      <c r="A38" s="246">
        <v>340171</v>
      </c>
      <c r="B38" s="246" t="s">
        <v>422</v>
      </c>
      <c r="C38" s="246" t="s">
        <v>423</v>
      </c>
      <c r="D38" s="246" t="s">
        <v>357</v>
      </c>
      <c r="E38" s="244"/>
      <c r="F38" s="244"/>
      <c r="G38" s="244"/>
      <c r="H38" s="244"/>
      <c r="I38" s="245" t="s">
        <v>244</v>
      </c>
      <c r="J38" s="244"/>
    </row>
    <row r="39" spans="1:10" ht="17.399999999999999" x14ac:dyDescent="0.25">
      <c r="A39" s="246">
        <v>340172</v>
      </c>
      <c r="B39" s="246" t="s">
        <v>424</v>
      </c>
      <c r="C39" s="246" t="s">
        <v>198</v>
      </c>
      <c r="D39" s="246" t="s">
        <v>425</v>
      </c>
      <c r="E39" s="244"/>
      <c r="F39" s="244"/>
      <c r="G39" s="244"/>
      <c r="H39" s="244"/>
      <c r="I39" s="245" t="s">
        <v>237</v>
      </c>
      <c r="J39" s="244"/>
    </row>
    <row r="40" spans="1:10" ht="17.399999999999999" x14ac:dyDescent="0.25">
      <c r="A40" s="246">
        <v>340173</v>
      </c>
      <c r="B40" s="246" t="s">
        <v>426</v>
      </c>
      <c r="C40" s="246" t="s">
        <v>427</v>
      </c>
      <c r="D40" s="246" t="s">
        <v>428</v>
      </c>
      <c r="E40" s="244"/>
      <c r="F40" s="244"/>
      <c r="G40" s="244"/>
      <c r="H40" s="244"/>
      <c r="I40" s="245" t="s">
        <v>247</v>
      </c>
      <c r="J40" s="244"/>
    </row>
    <row r="41" spans="1:10" ht="17.399999999999999" x14ac:dyDescent="0.25">
      <c r="A41" s="246">
        <v>340174</v>
      </c>
      <c r="B41" s="246" t="s">
        <v>429</v>
      </c>
      <c r="C41" s="246" t="s">
        <v>201</v>
      </c>
      <c r="D41" s="246" t="s">
        <v>325</v>
      </c>
      <c r="E41" s="244"/>
      <c r="F41" s="244"/>
      <c r="G41" s="244"/>
      <c r="H41" s="244"/>
      <c r="I41" s="245" t="s">
        <v>237</v>
      </c>
      <c r="J41" s="244"/>
    </row>
    <row r="42" spans="1:10" ht="17.399999999999999" x14ac:dyDescent="0.25">
      <c r="A42" s="246">
        <v>340175</v>
      </c>
      <c r="B42" s="246" t="s">
        <v>430</v>
      </c>
      <c r="C42" s="246" t="s">
        <v>431</v>
      </c>
      <c r="D42" s="246" t="s">
        <v>399</v>
      </c>
      <c r="E42" s="244"/>
      <c r="F42" s="244"/>
      <c r="G42" s="244"/>
      <c r="H42" s="244"/>
      <c r="I42" s="245" t="s">
        <v>237</v>
      </c>
      <c r="J42" s="244"/>
    </row>
    <row r="43" spans="1:10" ht="17.399999999999999" x14ac:dyDescent="0.25">
      <c r="A43" s="246">
        <v>340176</v>
      </c>
      <c r="B43" s="246" t="s">
        <v>432</v>
      </c>
      <c r="C43" s="246" t="s">
        <v>433</v>
      </c>
      <c r="D43" s="246" t="s">
        <v>326</v>
      </c>
      <c r="E43" s="244"/>
      <c r="F43" s="244"/>
      <c r="G43" s="244"/>
      <c r="H43" s="244"/>
      <c r="I43" s="245" t="s">
        <v>504</v>
      </c>
      <c r="J43" s="244"/>
    </row>
    <row r="44" spans="1:10" ht="17.399999999999999" x14ac:dyDescent="0.25">
      <c r="A44" s="246">
        <v>340177</v>
      </c>
      <c r="B44" s="246" t="s">
        <v>434</v>
      </c>
      <c r="C44" s="246" t="s">
        <v>435</v>
      </c>
      <c r="D44" s="246" t="s">
        <v>323</v>
      </c>
      <c r="E44" s="244"/>
      <c r="F44" s="244"/>
      <c r="G44" s="244"/>
      <c r="H44" s="244"/>
      <c r="I44" s="245" t="s">
        <v>237</v>
      </c>
      <c r="J44" s="244"/>
    </row>
    <row r="45" spans="1:10" ht="17.399999999999999" x14ac:dyDescent="0.25">
      <c r="A45" s="246">
        <v>340178</v>
      </c>
      <c r="B45" s="246" t="s">
        <v>436</v>
      </c>
      <c r="C45" s="246" t="s">
        <v>204</v>
      </c>
      <c r="D45" s="246" t="s">
        <v>437</v>
      </c>
      <c r="E45" s="244"/>
      <c r="F45" s="244"/>
      <c r="G45" s="244"/>
      <c r="H45" s="244"/>
      <c r="I45" s="245" t="s">
        <v>252</v>
      </c>
      <c r="J45" s="244"/>
    </row>
    <row r="46" spans="1:10" ht="17.399999999999999" x14ac:dyDescent="0.25">
      <c r="A46" s="246">
        <v>340179</v>
      </c>
      <c r="B46" s="246" t="s">
        <v>438</v>
      </c>
      <c r="C46" s="246" t="s">
        <v>200</v>
      </c>
      <c r="D46" s="246" t="s">
        <v>439</v>
      </c>
      <c r="E46" s="244"/>
      <c r="F46" s="244"/>
      <c r="G46" s="244"/>
      <c r="H46" s="244"/>
      <c r="I46" s="245" t="s">
        <v>244</v>
      </c>
      <c r="J46" s="244"/>
    </row>
    <row r="47" spans="1:10" ht="17.399999999999999" x14ac:dyDescent="0.25">
      <c r="A47" s="246">
        <v>340180</v>
      </c>
      <c r="B47" s="246" t="s">
        <v>440</v>
      </c>
      <c r="C47" s="246" t="s">
        <v>209</v>
      </c>
      <c r="D47" s="246" t="s">
        <v>441</v>
      </c>
      <c r="E47" s="244"/>
      <c r="F47" s="244"/>
      <c r="G47" s="244"/>
      <c r="H47" s="244"/>
      <c r="I47" s="245" t="s">
        <v>247</v>
      </c>
      <c r="J47" s="244"/>
    </row>
    <row r="48" spans="1:10" ht="17.399999999999999" x14ac:dyDescent="0.25">
      <c r="A48" s="246">
        <v>340181</v>
      </c>
      <c r="B48" s="246" t="s">
        <v>442</v>
      </c>
      <c r="C48" s="246" t="s">
        <v>443</v>
      </c>
      <c r="D48" s="246" t="s">
        <v>444</v>
      </c>
      <c r="E48" s="244"/>
      <c r="F48" s="244"/>
      <c r="G48" s="244"/>
      <c r="H48" s="244"/>
      <c r="I48" s="245" t="s">
        <v>247</v>
      </c>
      <c r="J48" s="244"/>
    </row>
    <row r="49" spans="1:10" ht="17.399999999999999" x14ac:dyDescent="0.25">
      <c r="A49" s="246">
        <v>340182</v>
      </c>
      <c r="B49" s="246" t="s">
        <v>445</v>
      </c>
      <c r="C49" s="246" t="s">
        <v>320</v>
      </c>
      <c r="D49" s="246" t="s">
        <v>446</v>
      </c>
      <c r="E49" s="244"/>
      <c r="F49" s="244"/>
      <c r="G49" s="244"/>
      <c r="H49" s="244"/>
      <c r="I49" s="245" t="s">
        <v>244</v>
      </c>
      <c r="J49" s="244" t="s">
        <v>298</v>
      </c>
    </row>
    <row r="50" spans="1:10" ht="17.399999999999999" x14ac:dyDescent="0.25">
      <c r="A50" s="246">
        <v>340183</v>
      </c>
      <c r="B50" s="246" t="s">
        <v>447</v>
      </c>
      <c r="C50" s="246" t="s">
        <v>448</v>
      </c>
      <c r="D50" s="246" t="s">
        <v>449</v>
      </c>
      <c r="E50" s="244"/>
      <c r="F50" s="244"/>
      <c r="G50" s="244"/>
      <c r="H50" s="244"/>
      <c r="I50" s="245" t="s">
        <v>244</v>
      </c>
      <c r="J50" s="244" t="s">
        <v>298</v>
      </c>
    </row>
    <row r="51" spans="1:10" ht="17.399999999999999" x14ac:dyDescent="0.25">
      <c r="A51" s="246">
        <v>340184</v>
      </c>
      <c r="B51" s="246" t="s">
        <v>450</v>
      </c>
      <c r="C51" s="246" t="s">
        <v>451</v>
      </c>
      <c r="D51" s="246" t="s">
        <v>452</v>
      </c>
      <c r="E51" s="244"/>
      <c r="F51" s="244"/>
      <c r="G51" s="244"/>
      <c r="H51" s="244"/>
      <c r="I51" s="245" t="s">
        <v>237</v>
      </c>
      <c r="J51" s="244"/>
    </row>
    <row r="52" spans="1:10" ht="17.399999999999999" x14ac:dyDescent="0.25">
      <c r="A52" s="246">
        <v>340185</v>
      </c>
      <c r="B52" s="246" t="s">
        <v>453</v>
      </c>
      <c r="C52" s="246" t="s">
        <v>454</v>
      </c>
      <c r="D52" s="246" t="s">
        <v>207</v>
      </c>
      <c r="E52" s="244"/>
      <c r="F52" s="244"/>
      <c r="G52" s="244"/>
      <c r="H52" s="244"/>
      <c r="I52" s="245" t="s">
        <v>247</v>
      </c>
      <c r="J52" s="244"/>
    </row>
    <row r="53" spans="1:10" ht="17.399999999999999" x14ac:dyDescent="0.25">
      <c r="A53" s="246">
        <v>340186</v>
      </c>
      <c r="B53" s="246" t="s">
        <v>455</v>
      </c>
      <c r="C53" s="246" t="s">
        <v>456</v>
      </c>
      <c r="D53" s="246" t="s">
        <v>207</v>
      </c>
      <c r="E53" s="244"/>
      <c r="F53" s="244"/>
      <c r="G53" s="244"/>
      <c r="H53" s="244"/>
      <c r="I53" s="245" t="s">
        <v>237</v>
      </c>
      <c r="J53" s="244"/>
    </row>
    <row r="54" spans="1:10" ht="17.399999999999999" x14ac:dyDescent="0.25">
      <c r="A54" s="246">
        <v>340187</v>
      </c>
      <c r="B54" s="246" t="s">
        <v>457</v>
      </c>
      <c r="C54" s="246" t="s">
        <v>343</v>
      </c>
      <c r="D54" s="246" t="s">
        <v>458</v>
      </c>
      <c r="E54" s="244"/>
      <c r="F54" s="244"/>
      <c r="G54" s="244"/>
      <c r="H54" s="244"/>
      <c r="I54" s="245" t="s">
        <v>504</v>
      </c>
      <c r="J54" s="244"/>
    </row>
    <row r="55" spans="1:10" ht="17.399999999999999" x14ac:dyDescent="0.25">
      <c r="A55" s="246">
        <v>340188</v>
      </c>
      <c r="B55" s="246" t="s">
        <v>459</v>
      </c>
      <c r="C55" s="246" t="s">
        <v>460</v>
      </c>
      <c r="D55" s="246" t="s">
        <v>342</v>
      </c>
      <c r="E55" s="244"/>
      <c r="F55" s="244"/>
      <c r="G55" s="244"/>
      <c r="H55" s="244"/>
      <c r="I55" s="245" t="s">
        <v>254</v>
      </c>
      <c r="J55" s="244"/>
    </row>
    <row r="56" spans="1:10" ht="17.399999999999999" x14ac:dyDescent="0.25">
      <c r="A56" s="246">
        <v>340189</v>
      </c>
      <c r="B56" s="246" t="s">
        <v>461</v>
      </c>
      <c r="C56" s="246" t="s">
        <v>206</v>
      </c>
      <c r="D56" s="246" t="s">
        <v>462</v>
      </c>
      <c r="E56" s="244"/>
      <c r="F56" s="244"/>
      <c r="G56" s="244"/>
      <c r="H56" s="244"/>
      <c r="I56" s="245" t="s">
        <v>237</v>
      </c>
      <c r="J56" s="244"/>
    </row>
    <row r="57" spans="1:10" ht="17.399999999999999" x14ac:dyDescent="0.25">
      <c r="A57" s="246">
        <v>340190</v>
      </c>
      <c r="B57" s="246" t="s">
        <v>463</v>
      </c>
      <c r="C57" s="246" t="s">
        <v>332</v>
      </c>
      <c r="D57" s="246" t="s">
        <v>210</v>
      </c>
      <c r="E57" s="244"/>
      <c r="F57" s="244"/>
      <c r="G57" s="244"/>
      <c r="H57" s="244"/>
      <c r="I57" s="245" t="s">
        <v>244</v>
      </c>
      <c r="J57" s="244"/>
    </row>
    <row r="58" spans="1:10" ht="17.399999999999999" x14ac:dyDescent="0.25">
      <c r="A58" s="246">
        <v>340191</v>
      </c>
      <c r="B58" s="246" t="s">
        <v>464</v>
      </c>
      <c r="C58" s="246" t="s">
        <v>201</v>
      </c>
      <c r="D58" s="246" t="s">
        <v>207</v>
      </c>
      <c r="E58" s="244"/>
      <c r="F58" s="244"/>
      <c r="G58" s="244"/>
      <c r="H58" s="244"/>
      <c r="I58" s="245" t="s">
        <v>237</v>
      </c>
      <c r="J58" s="244"/>
    </row>
    <row r="59" spans="1:10" ht="17.399999999999999" x14ac:dyDescent="0.25">
      <c r="A59" s="246">
        <v>340192</v>
      </c>
      <c r="B59" s="246" t="s">
        <v>465</v>
      </c>
      <c r="C59" s="246" t="s">
        <v>201</v>
      </c>
      <c r="D59" s="246" t="s">
        <v>466</v>
      </c>
      <c r="E59" s="244"/>
      <c r="F59" s="244"/>
      <c r="G59" s="244"/>
      <c r="H59" s="244"/>
      <c r="I59" s="245" t="s">
        <v>237</v>
      </c>
      <c r="J59" s="244"/>
    </row>
    <row r="60" spans="1:10" ht="17.399999999999999" x14ac:dyDescent="0.25">
      <c r="A60" s="246">
        <v>340193</v>
      </c>
      <c r="B60" s="246" t="s">
        <v>467</v>
      </c>
      <c r="C60" s="246" t="s">
        <v>341</v>
      </c>
      <c r="D60" s="246" t="s">
        <v>373</v>
      </c>
      <c r="E60" s="244"/>
      <c r="F60" s="244"/>
      <c r="G60" s="244"/>
      <c r="H60" s="244"/>
      <c r="I60" s="245" t="s">
        <v>244</v>
      </c>
      <c r="J60" s="244"/>
    </row>
    <row r="61" spans="1:10" ht="17.399999999999999" x14ac:dyDescent="0.25">
      <c r="A61" s="246">
        <v>340194</v>
      </c>
      <c r="B61" s="246" t="s">
        <v>468</v>
      </c>
      <c r="C61" s="246" t="s">
        <v>211</v>
      </c>
      <c r="D61" s="246" t="s">
        <v>469</v>
      </c>
      <c r="E61" s="244"/>
      <c r="F61" s="244"/>
      <c r="G61" s="244"/>
      <c r="H61" s="244"/>
      <c r="I61" s="245" t="s">
        <v>247</v>
      </c>
      <c r="J61" s="244"/>
    </row>
    <row r="62" spans="1:10" ht="17.399999999999999" x14ac:dyDescent="0.25">
      <c r="A62" s="246">
        <v>340195</v>
      </c>
      <c r="B62" s="246" t="s">
        <v>470</v>
      </c>
      <c r="C62" s="246" t="s">
        <v>471</v>
      </c>
      <c r="D62" s="246" t="s">
        <v>446</v>
      </c>
      <c r="E62" s="244"/>
      <c r="F62" s="244"/>
      <c r="G62" s="244"/>
      <c r="H62" s="244"/>
      <c r="I62" s="245" t="s">
        <v>257</v>
      </c>
      <c r="J62" s="244" t="s">
        <v>298</v>
      </c>
    </row>
    <row r="63" spans="1:10" ht="17.399999999999999" x14ac:dyDescent="0.25">
      <c r="A63" s="246">
        <v>340196</v>
      </c>
      <c r="B63" s="246" t="s">
        <v>472</v>
      </c>
      <c r="C63" s="246" t="s">
        <v>202</v>
      </c>
      <c r="D63" s="246" t="s">
        <v>413</v>
      </c>
      <c r="E63" s="244"/>
      <c r="F63" s="244"/>
      <c r="G63" s="244"/>
      <c r="H63" s="244"/>
      <c r="I63" s="245" t="s">
        <v>504</v>
      </c>
      <c r="J63" s="244"/>
    </row>
    <row r="64" spans="1:10" ht="17.399999999999999" x14ac:dyDescent="0.25">
      <c r="A64" s="246">
        <v>340197</v>
      </c>
      <c r="B64" s="246" t="s">
        <v>473</v>
      </c>
      <c r="C64" s="246" t="s">
        <v>474</v>
      </c>
      <c r="D64" s="246" t="s">
        <v>399</v>
      </c>
      <c r="E64" s="244"/>
      <c r="F64" s="244"/>
      <c r="G64" s="244"/>
      <c r="H64" s="244"/>
      <c r="I64" s="245" t="s">
        <v>244</v>
      </c>
      <c r="J64" s="244" t="s">
        <v>298</v>
      </c>
    </row>
    <row r="65" spans="1:10" ht="17.399999999999999" x14ac:dyDescent="0.25">
      <c r="A65" s="246">
        <v>340198</v>
      </c>
      <c r="B65" s="246" t="s">
        <v>475</v>
      </c>
      <c r="C65" s="246" t="s">
        <v>332</v>
      </c>
      <c r="D65" s="246" t="s">
        <v>339</v>
      </c>
      <c r="E65" s="244"/>
      <c r="F65" s="244"/>
      <c r="G65" s="244"/>
      <c r="H65" s="244"/>
      <c r="I65" s="245" t="s">
        <v>244</v>
      </c>
      <c r="J65" s="244" t="s">
        <v>298</v>
      </c>
    </row>
    <row r="66" spans="1:10" ht="17.399999999999999" x14ac:dyDescent="0.25">
      <c r="A66" s="246">
        <v>340199</v>
      </c>
      <c r="B66" s="246" t="s">
        <v>476</v>
      </c>
      <c r="C66" s="246" t="s">
        <v>477</v>
      </c>
      <c r="D66" s="246" t="s">
        <v>478</v>
      </c>
      <c r="E66" s="244"/>
      <c r="F66" s="244"/>
      <c r="G66" s="244"/>
      <c r="H66" s="244"/>
      <c r="I66" s="245" t="s">
        <v>237</v>
      </c>
      <c r="J66" s="244"/>
    </row>
    <row r="67" spans="1:10" ht="17.399999999999999" x14ac:dyDescent="0.25">
      <c r="A67" s="246">
        <v>340200</v>
      </c>
      <c r="B67" s="246" t="s">
        <v>479</v>
      </c>
      <c r="C67" s="246" t="s">
        <v>480</v>
      </c>
      <c r="D67" s="246" t="s">
        <v>481</v>
      </c>
      <c r="E67" s="244"/>
      <c r="F67" s="244"/>
      <c r="G67" s="244"/>
      <c r="H67" s="244"/>
      <c r="I67" s="245" t="s">
        <v>237</v>
      </c>
      <c r="J67" s="244"/>
    </row>
    <row r="68" spans="1:10" ht="17.399999999999999" x14ac:dyDescent="0.25">
      <c r="A68" s="246">
        <v>340201</v>
      </c>
      <c r="B68" s="246" t="s">
        <v>482</v>
      </c>
      <c r="C68" s="246" t="s">
        <v>483</v>
      </c>
      <c r="D68" s="246" t="s">
        <v>484</v>
      </c>
      <c r="E68" s="244"/>
      <c r="F68" s="244"/>
      <c r="G68" s="244"/>
      <c r="H68" s="244"/>
      <c r="I68" s="245" t="s">
        <v>254</v>
      </c>
      <c r="J68" s="244"/>
    </row>
    <row r="69" spans="1:10" ht="17.399999999999999" x14ac:dyDescent="0.25">
      <c r="A69" s="246">
        <v>340202</v>
      </c>
      <c r="B69" s="246" t="s">
        <v>485</v>
      </c>
      <c r="C69" s="246" t="s">
        <v>199</v>
      </c>
      <c r="D69" s="246" t="s">
        <v>486</v>
      </c>
      <c r="E69" s="244"/>
      <c r="F69" s="244"/>
      <c r="G69" s="244"/>
      <c r="H69" s="244"/>
      <c r="I69" s="245" t="s">
        <v>252</v>
      </c>
      <c r="J69" s="244"/>
    </row>
    <row r="70" spans="1:10" ht="17.399999999999999" x14ac:dyDescent="0.25">
      <c r="A70" s="246">
        <v>340203</v>
      </c>
      <c r="B70" s="246" t="s">
        <v>487</v>
      </c>
      <c r="C70" s="246" t="s">
        <v>332</v>
      </c>
      <c r="D70" s="246" t="s">
        <v>205</v>
      </c>
      <c r="E70" s="244"/>
      <c r="F70" s="244"/>
      <c r="G70" s="244"/>
      <c r="H70" s="244"/>
      <c r="I70" s="245" t="s">
        <v>237</v>
      </c>
      <c r="J70" s="244"/>
    </row>
    <row r="71" spans="1:10" ht="17.399999999999999" x14ac:dyDescent="0.25">
      <c r="A71" s="246">
        <v>340204</v>
      </c>
      <c r="B71" s="246" t="s">
        <v>488</v>
      </c>
      <c r="C71" s="246" t="s">
        <v>332</v>
      </c>
      <c r="D71" s="246" t="s">
        <v>489</v>
      </c>
      <c r="E71" s="244"/>
      <c r="F71" s="244"/>
      <c r="G71" s="244"/>
      <c r="H71" s="244"/>
      <c r="I71" s="245" t="s">
        <v>244</v>
      </c>
      <c r="J71" s="244"/>
    </row>
    <row r="72" spans="1:10" ht="17.399999999999999" x14ac:dyDescent="0.25">
      <c r="A72" s="246">
        <v>340205</v>
      </c>
      <c r="B72" s="246" t="s">
        <v>490</v>
      </c>
      <c r="C72" s="246" t="s">
        <v>331</v>
      </c>
      <c r="D72" s="246" t="s">
        <v>491</v>
      </c>
      <c r="E72" s="244"/>
      <c r="F72" s="244"/>
      <c r="G72" s="244"/>
      <c r="H72" s="244"/>
      <c r="I72" s="245" t="s">
        <v>237</v>
      </c>
      <c r="J72" s="244"/>
    </row>
    <row r="73" spans="1:10" ht="17.399999999999999" x14ac:dyDescent="0.25">
      <c r="A73" s="246">
        <v>340206</v>
      </c>
      <c r="B73" s="246" t="s">
        <v>492</v>
      </c>
      <c r="C73" s="246" t="s">
        <v>493</v>
      </c>
      <c r="D73" s="246" t="s">
        <v>494</v>
      </c>
      <c r="E73" s="244"/>
      <c r="F73" s="244"/>
      <c r="G73" s="244"/>
      <c r="H73" s="244"/>
      <c r="I73" s="245" t="s">
        <v>504</v>
      </c>
      <c r="J73" s="244"/>
    </row>
    <row r="74" spans="1:10" ht="17.399999999999999" x14ac:dyDescent="0.25">
      <c r="A74" s="246">
        <v>340207</v>
      </c>
      <c r="B74" s="246" t="s">
        <v>495</v>
      </c>
      <c r="C74" s="246" t="s">
        <v>496</v>
      </c>
      <c r="D74" s="246" t="s">
        <v>410</v>
      </c>
      <c r="E74" s="244"/>
      <c r="F74" s="244"/>
      <c r="G74" s="244"/>
      <c r="H74" s="244"/>
      <c r="I74" s="245" t="s">
        <v>237</v>
      </c>
      <c r="J74" s="244"/>
    </row>
    <row r="75" spans="1:10" ht="17.399999999999999" x14ac:dyDescent="0.25">
      <c r="A75" s="246">
        <v>340208</v>
      </c>
      <c r="B75" s="246" t="s">
        <v>497</v>
      </c>
      <c r="C75" s="246" t="s">
        <v>200</v>
      </c>
      <c r="D75" s="246" t="s">
        <v>498</v>
      </c>
      <c r="E75" s="244"/>
      <c r="F75" s="244"/>
      <c r="G75" s="244"/>
      <c r="H75" s="244"/>
      <c r="I75" s="245" t="s">
        <v>247</v>
      </c>
      <c r="J75" s="244"/>
    </row>
    <row r="76" spans="1:10" ht="17.399999999999999" x14ac:dyDescent="0.25">
      <c r="A76" s="246">
        <v>340135</v>
      </c>
      <c r="B76" s="246" t="s">
        <v>499</v>
      </c>
      <c r="C76" s="246" t="s">
        <v>199</v>
      </c>
      <c r="D76" s="246" t="s">
        <v>500</v>
      </c>
      <c r="E76" s="244"/>
      <c r="F76" s="244"/>
      <c r="G76" s="244"/>
      <c r="H76" s="244"/>
      <c r="I76" s="245" t="s">
        <v>257</v>
      </c>
      <c r="J76" s="244" t="s">
        <v>298</v>
      </c>
    </row>
    <row r="77" spans="1:10" ht="17.399999999999999" x14ac:dyDescent="0.25">
      <c r="A77" s="246">
        <v>340209</v>
      </c>
      <c r="B77" s="246" t="s">
        <v>501</v>
      </c>
      <c r="C77" s="246" t="s">
        <v>338</v>
      </c>
      <c r="D77" s="246" t="s">
        <v>502</v>
      </c>
      <c r="E77" s="244"/>
      <c r="F77" s="244"/>
      <c r="G77" s="244"/>
      <c r="H77" s="244"/>
      <c r="I77" s="245" t="s">
        <v>237</v>
      </c>
      <c r="J77" s="244"/>
    </row>
    <row r="78" spans="1:10" ht="17.399999999999999" x14ac:dyDescent="0.25">
      <c r="A78" s="246">
        <v>340210</v>
      </c>
      <c r="B78" s="246" t="s">
        <v>503</v>
      </c>
      <c r="C78" s="246" t="s">
        <v>198</v>
      </c>
      <c r="D78" s="246" t="s">
        <v>328</v>
      </c>
      <c r="E78" s="244"/>
      <c r="F78" s="244"/>
      <c r="G78" s="244"/>
      <c r="H78" s="244"/>
      <c r="I78" s="245" t="s">
        <v>237</v>
      </c>
      <c r="J78" s="244"/>
    </row>
    <row r="79" spans="1:10" ht="17.399999999999999" x14ac:dyDescent="0.25">
      <c r="A79" s="246"/>
      <c r="B79" s="246"/>
      <c r="C79" s="246"/>
      <c r="D79" s="246"/>
      <c r="E79" s="244"/>
      <c r="F79" s="244"/>
      <c r="G79" s="244"/>
      <c r="H79" s="244"/>
      <c r="I79" s="245"/>
      <c r="J79" s="244"/>
    </row>
    <row r="80" spans="1:10" ht="17.399999999999999" x14ac:dyDescent="0.25">
      <c r="A80" s="246"/>
      <c r="B80" s="246"/>
      <c r="C80" s="246"/>
      <c r="D80" s="246"/>
      <c r="E80" s="244"/>
      <c r="F80" s="244"/>
      <c r="G80" s="244"/>
      <c r="H80" s="244"/>
      <c r="I80" s="245"/>
      <c r="J80" s="244"/>
    </row>
    <row r="81" spans="1:10" ht="17.399999999999999" x14ac:dyDescent="0.25">
      <c r="A81" s="246"/>
      <c r="B81" s="246"/>
      <c r="C81" s="246"/>
      <c r="D81" s="246"/>
      <c r="E81" s="244"/>
      <c r="F81" s="244"/>
      <c r="G81" s="244"/>
      <c r="H81" s="244"/>
      <c r="I81" s="245"/>
      <c r="J81" s="244"/>
    </row>
    <row r="82" spans="1:10" ht="17.399999999999999" x14ac:dyDescent="0.25">
      <c r="A82" s="246"/>
      <c r="B82" s="246"/>
      <c r="C82" s="246"/>
      <c r="D82" s="246"/>
      <c r="E82" s="244"/>
      <c r="F82" s="244"/>
      <c r="G82" s="244"/>
      <c r="H82" s="244"/>
      <c r="I82" s="245"/>
      <c r="J82" s="244"/>
    </row>
    <row r="83" spans="1:10" ht="17.399999999999999" x14ac:dyDescent="0.25">
      <c r="A83" s="246"/>
      <c r="B83" s="246"/>
      <c r="C83" s="246"/>
      <c r="D83" s="246"/>
      <c r="E83" s="244"/>
      <c r="F83" s="244"/>
      <c r="G83" s="244"/>
      <c r="H83" s="244"/>
      <c r="I83" s="245"/>
      <c r="J83" s="244"/>
    </row>
    <row r="84" spans="1:10" ht="17.399999999999999" x14ac:dyDescent="0.25">
      <c r="A84" s="246"/>
      <c r="B84" s="246"/>
      <c r="C84" s="246"/>
      <c r="D84" s="246"/>
      <c r="E84" s="244"/>
      <c r="F84" s="244"/>
      <c r="G84" s="244"/>
      <c r="H84" s="244"/>
      <c r="I84" s="245"/>
      <c r="J84" s="244"/>
    </row>
    <row r="85" spans="1:10" ht="17.399999999999999" x14ac:dyDescent="0.25">
      <c r="A85" s="246"/>
      <c r="B85" s="246"/>
      <c r="C85" s="246"/>
      <c r="D85" s="246"/>
      <c r="E85" s="244"/>
      <c r="F85" s="244"/>
      <c r="G85" s="244"/>
      <c r="H85" s="244"/>
      <c r="I85" s="245"/>
      <c r="J85" s="244"/>
    </row>
    <row r="86" spans="1:10" ht="17.399999999999999" x14ac:dyDescent="0.25">
      <c r="A86" s="246"/>
      <c r="B86" s="246"/>
      <c r="C86" s="246"/>
      <c r="D86" s="246"/>
      <c r="E86" s="244"/>
      <c r="F86" s="244"/>
      <c r="G86" s="244"/>
      <c r="H86" s="244"/>
      <c r="I86" s="245"/>
      <c r="J86" s="244"/>
    </row>
    <row r="87" spans="1:10" ht="17.399999999999999" x14ac:dyDescent="0.25">
      <c r="A87" s="246"/>
      <c r="B87" s="246"/>
      <c r="C87" s="246"/>
      <c r="D87" s="246"/>
      <c r="E87" s="244"/>
      <c r="F87" s="244"/>
      <c r="G87" s="244"/>
      <c r="H87" s="244"/>
      <c r="I87" s="245"/>
      <c r="J87" s="244"/>
    </row>
    <row r="88" spans="1:10" ht="17.399999999999999" x14ac:dyDescent="0.25">
      <c r="A88" s="246"/>
      <c r="B88" s="246"/>
      <c r="C88" s="246"/>
      <c r="D88" s="246"/>
      <c r="E88" s="244"/>
      <c r="F88" s="244"/>
      <c r="G88" s="244"/>
      <c r="H88" s="244"/>
      <c r="I88" s="245"/>
      <c r="J88"/>
    </row>
    <row r="89" spans="1:10" ht="17.399999999999999" x14ac:dyDescent="0.25">
      <c r="A89" s="246"/>
      <c r="B89" s="246"/>
      <c r="C89" s="246"/>
      <c r="D89" s="246"/>
      <c r="E89" s="244"/>
      <c r="F89" s="244"/>
      <c r="G89" s="244"/>
      <c r="H89" s="244"/>
      <c r="I89" s="245"/>
      <c r="J89"/>
    </row>
    <row r="90" spans="1:10" ht="17.399999999999999" x14ac:dyDescent="0.25">
      <c r="A90" s="246"/>
      <c r="B90" s="246"/>
      <c r="C90" s="246"/>
      <c r="D90" s="246"/>
      <c r="E90" s="244"/>
      <c r="F90" s="244"/>
      <c r="G90" s="244"/>
      <c r="H90" s="244"/>
      <c r="I90" s="245"/>
      <c r="J90"/>
    </row>
    <row r="91" spans="1:10" ht="17.399999999999999" x14ac:dyDescent="0.25">
      <c r="A91" s="246"/>
      <c r="B91" s="246"/>
      <c r="C91" s="246"/>
      <c r="D91" s="246"/>
      <c r="E91" s="244"/>
      <c r="F91" s="244"/>
      <c r="G91" s="244"/>
      <c r="H91" s="244"/>
      <c r="I91" s="245"/>
      <c r="J91" s="244"/>
    </row>
    <row r="92" spans="1:10" ht="17.399999999999999" x14ac:dyDescent="0.25">
      <c r="A92" s="246"/>
      <c r="B92" s="246"/>
      <c r="C92" s="246"/>
      <c r="D92" s="246"/>
      <c r="E92" s="244"/>
      <c r="F92" s="244"/>
      <c r="G92" s="244"/>
      <c r="H92" s="244"/>
      <c r="I92" s="245"/>
      <c r="J92" s="244"/>
    </row>
    <row r="93" spans="1:10" ht="17.399999999999999" x14ac:dyDescent="0.25">
      <c r="A93" s="246"/>
      <c r="B93" s="246"/>
      <c r="C93" s="246"/>
      <c r="D93" s="246"/>
      <c r="E93" s="244"/>
      <c r="F93" s="244"/>
      <c r="G93" s="244"/>
      <c r="H93" s="244"/>
      <c r="I93" s="245"/>
      <c r="J93" s="244"/>
    </row>
    <row r="94" spans="1:10" ht="17.399999999999999" x14ac:dyDescent="0.25">
      <c r="A94" s="246"/>
      <c r="B94" s="246"/>
      <c r="C94" s="246"/>
      <c r="D94" s="246"/>
      <c r="E94" s="244"/>
      <c r="F94" s="244"/>
      <c r="G94" s="244"/>
      <c r="H94" s="244"/>
      <c r="I94" s="245"/>
      <c r="J94" s="244"/>
    </row>
    <row r="95" spans="1:10" ht="17.399999999999999" x14ac:dyDescent="0.25">
      <c r="A95" s="246"/>
      <c r="B95" s="246"/>
      <c r="C95" s="246"/>
      <c r="D95" s="246"/>
      <c r="E95" s="244"/>
      <c r="F95" s="244"/>
      <c r="G95" s="244"/>
      <c r="H95" s="244"/>
      <c r="I95" s="245"/>
      <c r="J95" s="244"/>
    </row>
    <row r="96" spans="1:10" ht="17.399999999999999" x14ac:dyDescent="0.25">
      <c r="A96" s="246"/>
      <c r="B96" s="246"/>
      <c r="C96" s="246"/>
      <c r="D96" s="246"/>
      <c r="E96" s="244"/>
      <c r="F96" s="244"/>
      <c r="G96" s="244"/>
      <c r="H96" s="244"/>
      <c r="I96" s="245"/>
      <c r="J96" s="244"/>
    </row>
    <row r="97" spans="1:10" ht="17.399999999999999" x14ac:dyDescent="0.25">
      <c r="A97" s="246"/>
      <c r="B97" s="246"/>
      <c r="C97" s="246"/>
      <c r="D97" s="246"/>
      <c r="E97" s="244"/>
      <c r="F97" s="244"/>
      <c r="G97" s="244"/>
      <c r="H97" s="244"/>
      <c r="I97" s="245"/>
      <c r="J97" s="244"/>
    </row>
    <row r="98" spans="1:10" ht="17.399999999999999" x14ac:dyDescent="0.25">
      <c r="A98" s="246"/>
      <c r="B98" s="246"/>
      <c r="C98" s="246"/>
      <c r="D98" s="246"/>
      <c r="E98" s="244"/>
      <c r="F98" s="244"/>
      <c r="G98" s="244"/>
      <c r="H98" s="244"/>
      <c r="I98" s="245"/>
      <c r="J98" s="244"/>
    </row>
    <row r="99" spans="1:10" ht="17.399999999999999" x14ac:dyDescent="0.25">
      <c r="A99" s="246"/>
      <c r="B99" s="246"/>
      <c r="C99" s="246"/>
      <c r="D99" s="246"/>
      <c r="E99" s="244"/>
      <c r="F99" s="244"/>
      <c r="G99" s="244"/>
      <c r="H99" s="244"/>
      <c r="I99" s="245"/>
      <c r="J99" s="244"/>
    </row>
    <row r="100" spans="1:10" ht="17.399999999999999" x14ac:dyDescent="0.25">
      <c r="A100" s="246"/>
      <c r="B100" s="246"/>
      <c r="C100" s="246"/>
      <c r="D100" s="246"/>
      <c r="E100" s="244"/>
      <c r="F100" s="244"/>
      <c r="G100" s="244"/>
      <c r="H100" s="244"/>
      <c r="I100" s="245"/>
      <c r="J100" s="244"/>
    </row>
    <row r="101" spans="1:10" ht="17.399999999999999" x14ac:dyDescent="0.25">
      <c r="A101" s="246"/>
      <c r="B101" s="246"/>
      <c r="C101" s="246"/>
      <c r="D101" s="246"/>
      <c r="E101" s="244"/>
      <c r="F101" s="244"/>
      <c r="G101" s="244"/>
      <c r="H101" s="244"/>
      <c r="I101" s="245"/>
      <c r="J101" s="244"/>
    </row>
    <row r="102" spans="1:10" ht="17.399999999999999" x14ac:dyDescent="0.25">
      <c r="A102" s="246"/>
      <c r="B102" s="246"/>
      <c r="C102" s="246"/>
      <c r="D102" s="246"/>
      <c r="E102" s="244"/>
      <c r="F102" s="244"/>
      <c r="G102" s="244"/>
      <c r="H102" s="244"/>
      <c r="I102" s="245"/>
      <c r="J102" s="244"/>
    </row>
    <row r="103" spans="1:10" ht="17.399999999999999" x14ac:dyDescent="0.25">
      <c r="A103" s="246"/>
      <c r="B103" s="246"/>
      <c r="C103" s="246"/>
      <c r="D103" s="246"/>
      <c r="E103" s="244"/>
      <c r="F103" s="244"/>
      <c r="G103" s="244"/>
      <c r="H103" s="244"/>
      <c r="I103" s="245"/>
      <c r="J103" s="244"/>
    </row>
    <row r="104" spans="1:10" ht="17.399999999999999" x14ac:dyDescent="0.25">
      <c r="A104" s="246"/>
      <c r="B104" s="246"/>
      <c r="C104" s="246"/>
      <c r="D104" s="246"/>
      <c r="E104" s="244"/>
      <c r="F104" s="244"/>
      <c r="G104" s="244"/>
      <c r="H104" s="244"/>
      <c r="I104" s="245"/>
      <c r="J104" s="244"/>
    </row>
    <row r="105" spans="1:10" ht="17.399999999999999" x14ac:dyDescent="0.25">
      <c r="A105" s="246"/>
      <c r="B105" s="246"/>
      <c r="C105" s="246"/>
      <c r="D105" s="246"/>
      <c r="E105" s="244"/>
      <c r="F105" s="244"/>
      <c r="G105" s="244"/>
      <c r="H105" s="244"/>
      <c r="I105" s="245"/>
      <c r="J105" s="244"/>
    </row>
    <row r="106" spans="1:10" ht="17.399999999999999" x14ac:dyDescent="0.25">
      <c r="A106" s="246"/>
      <c r="B106" s="246"/>
      <c r="C106" s="246"/>
      <c r="D106" s="246"/>
      <c r="E106" s="244"/>
      <c r="F106" s="244"/>
      <c r="G106" s="244"/>
      <c r="H106" s="244"/>
      <c r="I106" s="245"/>
      <c r="J106" s="244"/>
    </row>
    <row r="107" spans="1:10" ht="17.399999999999999" x14ac:dyDescent="0.25">
      <c r="A107" s="246"/>
      <c r="B107" s="246"/>
      <c r="C107" s="246"/>
      <c r="D107" s="246"/>
      <c r="E107" s="244"/>
      <c r="F107" s="244"/>
      <c r="G107" s="244"/>
      <c r="H107" s="244"/>
      <c r="I107" s="245"/>
      <c r="J107" s="244"/>
    </row>
    <row r="108" spans="1:10" ht="17.399999999999999" x14ac:dyDescent="0.25">
      <c r="A108" s="246"/>
      <c r="B108" s="246"/>
      <c r="C108" s="246"/>
      <c r="D108" s="246"/>
      <c r="E108" s="244"/>
      <c r="F108" s="244"/>
      <c r="G108" s="244"/>
      <c r="H108" s="244"/>
      <c r="I108" s="245"/>
      <c r="J108" s="244"/>
    </row>
    <row r="109" spans="1:10" ht="17.399999999999999" x14ac:dyDescent="0.25">
      <c r="A109" s="246"/>
      <c r="B109" s="246"/>
      <c r="C109" s="246"/>
      <c r="D109" s="246"/>
      <c r="E109" s="244"/>
      <c r="F109" s="244"/>
      <c r="G109" s="244"/>
      <c r="H109" s="244"/>
      <c r="I109" s="245"/>
      <c r="J109" s="244"/>
    </row>
    <row r="110" spans="1:10" ht="17.399999999999999" x14ac:dyDescent="0.25">
      <c r="A110" s="246"/>
      <c r="B110" s="246"/>
      <c r="C110" s="246"/>
      <c r="D110" s="246"/>
      <c r="E110" s="244"/>
      <c r="F110" s="244"/>
      <c r="G110" s="244"/>
      <c r="H110" s="244"/>
      <c r="I110" s="245"/>
      <c r="J110" s="244"/>
    </row>
    <row r="111" spans="1:10" ht="17.399999999999999" x14ac:dyDescent="0.25">
      <c r="A111" s="246"/>
      <c r="B111" s="246"/>
      <c r="C111" s="246"/>
      <c r="D111" s="246"/>
      <c r="E111" s="244"/>
      <c r="F111" s="244"/>
      <c r="G111" s="244"/>
      <c r="H111" s="244"/>
      <c r="I111" s="245"/>
      <c r="J111" s="244"/>
    </row>
    <row r="112" spans="1:10" ht="17.399999999999999" x14ac:dyDescent="0.25">
      <c r="A112" s="246"/>
      <c r="B112" s="246"/>
      <c r="C112" s="246"/>
      <c r="D112" s="246"/>
      <c r="E112" s="244"/>
      <c r="F112" s="244"/>
      <c r="G112" s="244"/>
      <c r="H112" s="244"/>
      <c r="I112" s="245"/>
      <c r="J112" s="244"/>
    </row>
    <row r="113" spans="1:10" ht="17.399999999999999" x14ac:dyDescent="0.25">
      <c r="A113" s="246"/>
      <c r="B113" s="246"/>
      <c r="C113" s="246"/>
      <c r="D113" s="246"/>
      <c r="E113" s="244"/>
      <c r="F113" s="244"/>
      <c r="G113" s="244"/>
      <c r="H113" s="244"/>
      <c r="I113" s="245"/>
      <c r="J113" s="244"/>
    </row>
    <row r="114" spans="1:10" ht="17.399999999999999" x14ac:dyDescent="0.25">
      <c r="A114" s="246"/>
      <c r="B114" s="246"/>
      <c r="C114" s="246"/>
      <c r="D114" s="246"/>
      <c r="E114" s="244"/>
      <c r="F114" s="244"/>
      <c r="G114" s="244"/>
      <c r="H114" s="244"/>
      <c r="I114" s="245"/>
      <c r="J114" s="244"/>
    </row>
    <row r="115" spans="1:10" ht="17.399999999999999" x14ac:dyDescent="0.25">
      <c r="A115" s="246"/>
      <c r="B115" s="246"/>
      <c r="C115" s="246"/>
      <c r="D115" s="246"/>
      <c r="E115" s="244"/>
      <c r="F115" s="244"/>
      <c r="G115" s="244"/>
      <c r="H115" s="244"/>
      <c r="I115" s="245"/>
      <c r="J115" s="244"/>
    </row>
    <row r="116" spans="1:10" ht="17.399999999999999" x14ac:dyDescent="0.25">
      <c r="A116" s="246"/>
      <c r="B116" s="246"/>
      <c r="C116" s="246"/>
      <c r="D116" s="246"/>
      <c r="E116" s="244"/>
      <c r="F116" s="244"/>
      <c r="G116" s="244"/>
      <c r="H116" s="244"/>
      <c r="I116" s="245"/>
      <c r="J116" s="244"/>
    </row>
    <row r="117" spans="1:10" ht="17.399999999999999" x14ac:dyDescent="0.25">
      <c r="A117" s="246"/>
      <c r="B117" s="246"/>
      <c r="C117" s="246"/>
      <c r="D117" s="246"/>
      <c r="E117" s="244"/>
      <c r="F117" s="244"/>
      <c r="G117" s="244"/>
      <c r="H117" s="244"/>
      <c r="I117" s="245"/>
      <c r="J117" s="244"/>
    </row>
    <row r="118" spans="1:10" ht="17.399999999999999" x14ac:dyDescent="0.25">
      <c r="A118" s="246"/>
      <c r="B118" s="246"/>
      <c r="C118" s="246"/>
      <c r="D118" s="246"/>
      <c r="E118" s="244"/>
      <c r="F118" s="244"/>
      <c r="G118" s="244"/>
      <c r="H118" s="244"/>
      <c r="I118" s="245"/>
      <c r="J118" s="244"/>
    </row>
    <row r="119" spans="1:10" ht="17.399999999999999" x14ac:dyDescent="0.25">
      <c r="A119" s="246"/>
      <c r="B119" s="246"/>
      <c r="C119" s="246"/>
      <c r="D119" s="246"/>
      <c r="E119" s="244"/>
      <c r="F119" s="244"/>
      <c r="G119" s="244"/>
      <c r="H119" s="244"/>
      <c r="I119" s="245"/>
      <c r="J119" s="244"/>
    </row>
    <row r="120" spans="1:10" ht="17.399999999999999" x14ac:dyDescent="0.25">
      <c r="A120" s="246"/>
      <c r="B120" s="246"/>
      <c r="C120" s="246"/>
      <c r="D120" s="246"/>
      <c r="E120" s="244"/>
      <c r="F120" s="244"/>
      <c r="G120" s="244"/>
      <c r="H120" s="244"/>
      <c r="I120" s="245"/>
      <c r="J120" s="244"/>
    </row>
    <row r="121" spans="1:10" ht="17.399999999999999" x14ac:dyDescent="0.25">
      <c r="A121" s="246"/>
      <c r="B121" s="246"/>
      <c r="C121" s="246"/>
      <c r="D121" s="246"/>
      <c r="E121" s="244"/>
      <c r="F121" s="244"/>
      <c r="G121" s="244"/>
      <c r="H121" s="244"/>
      <c r="I121" s="245"/>
      <c r="J121" s="244"/>
    </row>
    <row r="122" spans="1:10" ht="17.399999999999999" x14ac:dyDescent="0.25">
      <c r="A122" s="246"/>
      <c r="B122" s="246"/>
      <c r="C122" s="246"/>
      <c r="D122" s="246"/>
      <c r="E122" s="244"/>
      <c r="F122" s="244"/>
      <c r="G122" s="244"/>
      <c r="H122" s="244"/>
      <c r="I122" s="245"/>
      <c r="J122" s="244"/>
    </row>
    <row r="123" spans="1:10" ht="17.399999999999999" x14ac:dyDescent="0.25">
      <c r="A123" s="246"/>
      <c r="B123" s="246"/>
      <c r="C123" s="246"/>
      <c r="D123" s="246"/>
      <c r="E123" s="244"/>
      <c r="F123" s="244"/>
      <c r="G123" s="244"/>
      <c r="H123" s="244"/>
      <c r="I123" s="245"/>
      <c r="J123" s="244"/>
    </row>
    <row r="124" spans="1:10" ht="17.399999999999999" x14ac:dyDescent="0.25">
      <c r="A124" s="246"/>
      <c r="B124" s="246"/>
      <c r="C124" s="246"/>
      <c r="D124" s="246"/>
      <c r="E124" s="244"/>
      <c r="F124" s="244"/>
      <c r="G124" s="244"/>
      <c r="H124" s="244"/>
      <c r="I124" s="245"/>
      <c r="J124" s="244"/>
    </row>
    <row r="125" spans="1:10" ht="17.399999999999999" x14ac:dyDescent="0.25">
      <c r="A125" s="246"/>
      <c r="B125" s="246"/>
      <c r="C125" s="246"/>
      <c r="D125" s="246"/>
      <c r="E125" s="244"/>
      <c r="F125" s="244"/>
      <c r="G125" s="244"/>
      <c r="H125" s="244"/>
      <c r="I125" s="245"/>
      <c r="J125" s="244"/>
    </row>
    <row r="126" spans="1:10" ht="17.399999999999999" x14ac:dyDescent="0.25">
      <c r="A126" s="246"/>
      <c r="B126" s="246"/>
      <c r="C126" s="246"/>
      <c r="D126" s="246"/>
      <c r="E126" s="244"/>
      <c r="F126" s="244"/>
      <c r="G126" s="244"/>
      <c r="H126" s="244"/>
      <c r="I126" s="245"/>
      <c r="J126" s="244"/>
    </row>
    <row r="127" spans="1:10" ht="17.399999999999999" x14ac:dyDescent="0.25">
      <c r="A127" s="246"/>
      <c r="B127" s="246"/>
      <c r="C127" s="246"/>
      <c r="D127" s="246"/>
      <c r="E127" s="244"/>
      <c r="F127" s="244"/>
      <c r="G127" s="244"/>
      <c r="H127" s="244"/>
      <c r="I127" s="245"/>
      <c r="J127" s="244"/>
    </row>
    <row r="128" spans="1:10" ht="17.399999999999999" x14ac:dyDescent="0.25">
      <c r="A128" s="246"/>
      <c r="B128" s="246"/>
      <c r="C128" s="246"/>
      <c r="D128" s="246"/>
      <c r="E128" s="244"/>
      <c r="F128" s="244"/>
      <c r="G128" s="244"/>
      <c r="H128" s="244"/>
      <c r="I128" s="245"/>
      <c r="J128" s="244"/>
    </row>
    <row r="129" spans="1:10" ht="17.399999999999999" x14ac:dyDescent="0.25">
      <c r="A129" s="246"/>
      <c r="B129" s="246"/>
      <c r="C129" s="246"/>
      <c r="D129" s="246"/>
      <c r="E129" s="244"/>
      <c r="F129" s="244"/>
      <c r="G129" s="244"/>
      <c r="H129" s="244"/>
      <c r="I129" s="245"/>
      <c r="J129" s="244"/>
    </row>
    <row r="130" spans="1:10" ht="17.399999999999999" x14ac:dyDescent="0.25">
      <c r="A130" s="246"/>
      <c r="B130" s="246"/>
      <c r="C130" s="246"/>
      <c r="D130" s="246"/>
      <c r="E130" s="244"/>
      <c r="F130" s="244"/>
      <c r="G130" s="244"/>
      <c r="H130" s="244"/>
      <c r="I130" s="245"/>
      <c r="J130" s="244"/>
    </row>
    <row r="131" spans="1:10" ht="17.399999999999999" x14ac:dyDescent="0.25">
      <c r="A131" s="246"/>
      <c r="B131" s="246"/>
      <c r="C131" s="246"/>
      <c r="D131" s="246"/>
      <c r="E131" s="244"/>
      <c r="F131" s="244"/>
      <c r="G131" s="244"/>
      <c r="H131" s="244"/>
      <c r="I131" s="245"/>
      <c r="J131" s="244"/>
    </row>
    <row r="132" spans="1:10" ht="17.399999999999999" x14ac:dyDescent="0.25">
      <c r="A132" s="246"/>
      <c r="B132" s="246"/>
      <c r="C132" s="246"/>
      <c r="D132" s="246"/>
      <c r="E132" s="244"/>
      <c r="F132" s="244"/>
      <c r="G132" s="244"/>
      <c r="H132" s="244"/>
      <c r="I132" s="245"/>
      <c r="J132" s="244"/>
    </row>
    <row r="133" spans="1:10" ht="17.399999999999999" x14ac:dyDescent="0.25">
      <c r="A133" s="246"/>
      <c r="B133" s="246"/>
      <c r="C133" s="246"/>
      <c r="D133" s="246"/>
      <c r="E133" s="244"/>
      <c r="F133" s="244"/>
      <c r="G133" s="244"/>
      <c r="H133" s="244"/>
      <c r="I133" s="245"/>
      <c r="J133" s="244"/>
    </row>
    <row r="134" spans="1:10" ht="17.399999999999999" x14ac:dyDescent="0.25">
      <c r="A134" s="246"/>
      <c r="B134" s="246"/>
      <c r="C134" s="246"/>
      <c r="D134" s="246"/>
      <c r="E134" s="244"/>
      <c r="F134" s="244"/>
      <c r="G134" s="244"/>
      <c r="H134" s="244"/>
      <c r="I134" s="245"/>
      <c r="J134" s="244"/>
    </row>
    <row r="135" spans="1:10" ht="17.399999999999999" x14ac:dyDescent="0.25">
      <c r="A135" s="246"/>
      <c r="B135" s="246"/>
      <c r="C135" s="246"/>
      <c r="D135" s="246"/>
      <c r="E135" s="244"/>
      <c r="F135" s="244"/>
      <c r="G135" s="244"/>
      <c r="H135" s="244"/>
      <c r="I135" s="245"/>
      <c r="J135" s="244"/>
    </row>
    <row r="136" spans="1:10" ht="17.399999999999999" x14ac:dyDescent="0.25">
      <c r="A136" s="246"/>
      <c r="B136" s="246"/>
      <c r="C136" s="246"/>
      <c r="D136" s="246"/>
      <c r="E136" s="244"/>
      <c r="F136" s="244"/>
      <c r="G136" s="244"/>
      <c r="H136" s="244"/>
      <c r="I136" s="245"/>
      <c r="J136" s="244"/>
    </row>
    <row r="137" spans="1:10" ht="17.399999999999999" x14ac:dyDescent="0.25">
      <c r="A137" s="246"/>
      <c r="B137" s="246"/>
      <c r="C137" s="246"/>
      <c r="D137" s="246"/>
      <c r="E137" s="244"/>
      <c r="F137" s="244"/>
      <c r="G137" s="244"/>
      <c r="H137" s="244"/>
      <c r="I137" s="245"/>
      <c r="J137" s="244"/>
    </row>
    <row r="138" spans="1:10" ht="17.399999999999999" x14ac:dyDescent="0.25">
      <c r="A138" s="246"/>
      <c r="B138" s="246"/>
      <c r="C138" s="246"/>
      <c r="D138" s="246"/>
      <c r="E138" s="244"/>
      <c r="F138" s="244"/>
      <c r="G138" s="244"/>
      <c r="H138" s="244"/>
      <c r="I138" s="245"/>
      <c r="J138" s="244"/>
    </row>
    <row r="139" spans="1:10" ht="17.399999999999999" x14ac:dyDescent="0.25">
      <c r="A139" s="246"/>
      <c r="B139" s="246"/>
      <c r="C139" s="246"/>
      <c r="D139" s="246"/>
      <c r="E139" s="244"/>
      <c r="F139" s="244"/>
      <c r="G139" s="244"/>
      <c r="H139" s="244"/>
      <c r="I139" s="245"/>
      <c r="J139" s="244"/>
    </row>
    <row r="140" spans="1:10" ht="17.399999999999999" x14ac:dyDescent="0.25">
      <c r="A140" s="246"/>
      <c r="B140" s="246"/>
      <c r="C140" s="246"/>
      <c r="D140" s="246"/>
      <c r="E140" s="244"/>
      <c r="F140" s="244"/>
      <c r="G140" s="244"/>
      <c r="H140" s="244"/>
      <c r="I140" s="245"/>
      <c r="J140" s="244"/>
    </row>
    <row r="141" spans="1:10" ht="17.399999999999999" x14ac:dyDescent="0.25">
      <c r="A141" s="246"/>
      <c r="B141" s="246"/>
      <c r="C141" s="246"/>
      <c r="D141" s="246"/>
      <c r="E141" s="244"/>
      <c r="F141" s="244"/>
      <c r="G141" s="244"/>
      <c r="H141" s="244"/>
      <c r="I141" s="245"/>
      <c r="J141" s="244"/>
    </row>
    <row r="142" spans="1:10" ht="17.399999999999999" x14ac:dyDescent="0.25">
      <c r="A142" s="246"/>
      <c r="B142" s="246"/>
      <c r="C142" s="246"/>
      <c r="D142" s="246"/>
      <c r="E142" s="244"/>
      <c r="F142" s="244"/>
      <c r="G142" s="244"/>
      <c r="H142" s="244"/>
      <c r="I142" s="245"/>
      <c r="J142" s="244"/>
    </row>
    <row r="143" spans="1:10" ht="17.399999999999999" x14ac:dyDescent="0.25">
      <c r="A143" s="246"/>
      <c r="B143" s="246"/>
      <c r="C143" s="246"/>
      <c r="D143" s="246"/>
      <c r="E143" s="244"/>
      <c r="F143" s="244"/>
      <c r="G143" s="244"/>
      <c r="H143" s="244"/>
      <c r="I143" s="245"/>
      <c r="J143" s="244"/>
    </row>
    <row r="144" spans="1:10" ht="17.399999999999999" x14ac:dyDescent="0.25">
      <c r="A144" s="246"/>
      <c r="B144" s="246"/>
      <c r="C144" s="246"/>
      <c r="D144" s="246"/>
      <c r="E144" s="244"/>
      <c r="F144" s="244"/>
      <c r="G144" s="244"/>
      <c r="H144" s="244"/>
      <c r="I144" s="245"/>
      <c r="J144" s="244"/>
    </row>
    <row r="145" spans="1:10" ht="17.399999999999999" x14ac:dyDescent="0.25">
      <c r="A145" s="246"/>
      <c r="B145" s="246"/>
      <c r="C145" s="246"/>
      <c r="D145" s="246"/>
      <c r="E145" s="244"/>
      <c r="F145" s="244"/>
      <c r="G145" s="244"/>
      <c r="H145" s="244"/>
      <c r="I145" s="245"/>
      <c r="J145" s="244"/>
    </row>
    <row r="146" spans="1:10" ht="17.399999999999999" x14ac:dyDescent="0.25">
      <c r="A146" s="246"/>
      <c r="B146" s="246"/>
      <c r="C146" s="246"/>
      <c r="D146" s="246"/>
      <c r="E146" s="244"/>
      <c r="F146" s="244"/>
      <c r="G146" s="244"/>
      <c r="H146" s="244"/>
      <c r="I146" s="245"/>
      <c r="J146" s="244"/>
    </row>
    <row r="147" spans="1:10" ht="17.399999999999999" x14ac:dyDescent="0.25">
      <c r="A147" s="246"/>
      <c r="B147" s="246"/>
      <c r="C147" s="246"/>
      <c r="D147" s="246"/>
      <c r="E147" s="244"/>
      <c r="F147" s="244"/>
      <c r="G147" s="244"/>
      <c r="H147" s="244"/>
      <c r="I147" s="245"/>
      <c r="J147" s="244"/>
    </row>
    <row r="148" spans="1:10" ht="17.399999999999999" x14ac:dyDescent="0.25">
      <c r="A148" s="246"/>
      <c r="B148" s="246"/>
      <c r="C148" s="246"/>
      <c r="D148" s="246"/>
      <c r="E148" s="244"/>
      <c r="F148" s="244"/>
      <c r="G148" s="244"/>
      <c r="H148" s="244"/>
      <c r="I148" s="245"/>
      <c r="J148" s="244"/>
    </row>
    <row r="149" spans="1:10" ht="17.399999999999999" x14ac:dyDescent="0.25">
      <c r="A149" s="246"/>
      <c r="B149" s="246"/>
      <c r="C149" s="246"/>
      <c r="D149" s="246"/>
      <c r="E149" s="244"/>
      <c r="F149" s="244"/>
      <c r="G149" s="244"/>
      <c r="H149" s="244"/>
      <c r="I149" s="245"/>
      <c r="J149" s="244"/>
    </row>
    <row r="150" spans="1:10" ht="17.399999999999999" x14ac:dyDescent="0.25">
      <c r="A150" s="246"/>
      <c r="B150" s="246"/>
      <c r="C150" s="246"/>
      <c r="D150" s="246"/>
      <c r="E150" s="244"/>
      <c r="F150" s="244"/>
      <c r="G150" s="244"/>
      <c r="H150" s="244"/>
      <c r="I150" s="245"/>
      <c r="J150" s="244"/>
    </row>
    <row r="151" spans="1:10" ht="17.399999999999999" x14ac:dyDescent="0.25">
      <c r="A151" s="246"/>
      <c r="B151" s="246"/>
      <c r="C151" s="246"/>
      <c r="D151" s="246"/>
      <c r="E151" s="244"/>
      <c r="F151" s="244"/>
      <c r="G151" s="244"/>
      <c r="H151" s="244"/>
      <c r="I151" s="245"/>
      <c r="J151" s="244"/>
    </row>
    <row r="152" spans="1:10" ht="17.399999999999999" x14ac:dyDescent="0.25">
      <c r="A152" s="246"/>
      <c r="B152" s="246"/>
      <c r="C152" s="246"/>
      <c r="D152" s="246"/>
      <c r="E152" s="244"/>
      <c r="F152" s="244"/>
      <c r="G152" s="244"/>
      <c r="H152" s="244"/>
      <c r="I152" s="245"/>
      <c r="J152" s="244"/>
    </row>
    <row r="153" spans="1:10" ht="17.399999999999999" x14ac:dyDescent="0.25">
      <c r="A153" s="246"/>
      <c r="B153" s="246"/>
      <c r="C153" s="246"/>
      <c r="D153" s="246"/>
      <c r="E153" s="244"/>
      <c r="F153" s="244"/>
      <c r="G153" s="244"/>
      <c r="H153" s="244"/>
      <c r="I153" s="245"/>
      <c r="J153" s="244"/>
    </row>
    <row r="154" spans="1:10" ht="17.399999999999999" x14ac:dyDescent="0.25">
      <c r="A154" s="246"/>
      <c r="B154" s="246"/>
      <c r="C154" s="246"/>
      <c r="D154" s="246"/>
      <c r="E154" s="244"/>
      <c r="F154" s="244"/>
      <c r="G154" s="244"/>
      <c r="H154" s="244"/>
      <c r="I154" s="245"/>
      <c r="J154" s="244"/>
    </row>
    <row r="155" spans="1:10" ht="17.399999999999999" x14ac:dyDescent="0.25">
      <c r="A155" s="246"/>
      <c r="B155" s="246"/>
      <c r="C155" s="246"/>
      <c r="D155" s="246"/>
      <c r="E155" s="244"/>
      <c r="F155" s="244"/>
      <c r="G155" s="244"/>
      <c r="H155" s="244"/>
      <c r="I155" s="245"/>
      <c r="J155" s="244"/>
    </row>
    <row r="156" spans="1:10" ht="17.399999999999999" x14ac:dyDescent="0.25">
      <c r="A156" s="246"/>
      <c r="B156" s="246"/>
      <c r="C156" s="246"/>
      <c r="D156" s="246"/>
      <c r="E156" s="244"/>
      <c r="F156" s="244"/>
      <c r="G156" s="244"/>
      <c r="H156" s="244"/>
      <c r="I156" s="245"/>
      <c r="J156" s="244"/>
    </row>
    <row r="157" spans="1:10" ht="17.399999999999999" x14ac:dyDescent="0.25">
      <c r="A157" s="246"/>
      <c r="B157" s="246"/>
      <c r="C157" s="246"/>
      <c r="D157" s="246"/>
      <c r="E157" s="244"/>
      <c r="F157" s="244"/>
      <c r="G157" s="244"/>
      <c r="H157" s="244"/>
      <c r="I157" s="245"/>
      <c r="J157" s="244"/>
    </row>
    <row r="158" spans="1:10" ht="17.399999999999999" x14ac:dyDescent="0.25">
      <c r="A158" s="246"/>
      <c r="B158" s="246"/>
      <c r="C158" s="246"/>
      <c r="D158" s="246"/>
      <c r="E158" s="244"/>
      <c r="F158" s="244"/>
      <c r="G158" s="244"/>
      <c r="H158" s="244"/>
      <c r="I158" s="245"/>
      <c r="J158" s="244"/>
    </row>
    <row r="159" spans="1:10" ht="17.399999999999999" x14ac:dyDescent="0.25">
      <c r="A159" s="246"/>
      <c r="B159" s="246"/>
      <c r="C159" s="246"/>
      <c r="D159" s="246"/>
      <c r="E159" s="244"/>
      <c r="F159" s="244"/>
      <c r="G159" s="244"/>
      <c r="H159" s="244"/>
      <c r="I159" s="245"/>
      <c r="J159" s="244"/>
    </row>
    <row r="160" spans="1:10" ht="17.399999999999999" x14ac:dyDescent="0.25">
      <c r="A160" s="246"/>
      <c r="B160" s="246"/>
      <c r="C160" s="246"/>
      <c r="D160" s="246"/>
      <c r="E160" s="244"/>
      <c r="F160" s="244"/>
      <c r="G160" s="244"/>
      <c r="H160" s="244"/>
      <c r="I160" s="245"/>
      <c r="J160" s="244"/>
    </row>
    <row r="161" spans="1:10" ht="17.399999999999999" x14ac:dyDescent="0.25">
      <c r="A161" s="246"/>
      <c r="B161" s="246"/>
      <c r="C161" s="246"/>
      <c r="D161" s="246"/>
      <c r="E161" s="244"/>
      <c r="F161" s="244"/>
      <c r="G161" s="244"/>
      <c r="H161" s="244"/>
      <c r="I161" s="245"/>
      <c r="J161" s="244"/>
    </row>
    <row r="162" spans="1:10" ht="17.399999999999999" x14ac:dyDescent="0.25">
      <c r="A162" s="246"/>
      <c r="B162" s="246"/>
      <c r="C162" s="246"/>
      <c r="D162" s="246"/>
      <c r="E162" s="244"/>
      <c r="F162" s="244"/>
      <c r="G162" s="244"/>
      <c r="H162" s="244"/>
      <c r="I162" s="245"/>
      <c r="J162" s="244"/>
    </row>
    <row r="163" spans="1:10" ht="17.399999999999999" x14ac:dyDescent="0.25">
      <c r="A163" s="246"/>
      <c r="B163" s="246"/>
      <c r="C163" s="246"/>
      <c r="D163" s="246"/>
      <c r="E163" s="244"/>
      <c r="F163" s="244"/>
      <c r="G163" s="244"/>
      <c r="H163" s="244"/>
      <c r="I163" s="245"/>
      <c r="J163" s="244"/>
    </row>
    <row r="164" spans="1:10" ht="17.399999999999999" x14ac:dyDescent="0.25">
      <c r="A164" s="246"/>
      <c r="B164" s="246"/>
      <c r="C164" s="246"/>
      <c r="D164" s="246"/>
      <c r="E164" s="244"/>
      <c r="F164" s="244"/>
      <c r="G164" s="244"/>
      <c r="H164" s="244"/>
      <c r="I164" s="245"/>
      <c r="J164" s="244"/>
    </row>
    <row r="165" spans="1:10" ht="17.399999999999999" x14ac:dyDescent="0.25">
      <c r="A165" s="246"/>
      <c r="B165" s="246"/>
      <c r="C165" s="246"/>
      <c r="D165" s="246"/>
      <c r="E165" s="244"/>
      <c r="F165" s="244"/>
      <c r="G165" s="244"/>
      <c r="H165" s="244"/>
      <c r="I165" s="245"/>
      <c r="J165" s="244"/>
    </row>
    <row r="166" spans="1:10" ht="17.399999999999999" x14ac:dyDescent="0.25">
      <c r="A166" s="246"/>
      <c r="B166" s="246"/>
      <c r="C166" s="246"/>
      <c r="D166" s="246"/>
      <c r="E166" s="244"/>
      <c r="F166" s="244"/>
      <c r="G166" s="244"/>
      <c r="H166" s="244"/>
      <c r="I166" s="245"/>
      <c r="J166" s="244"/>
    </row>
    <row r="167" spans="1:10" ht="17.399999999999999" x14ac:dyDescent="0.25">
      <c r="A167" s="246"/>
      <c r="B167" s="246"/>
      <c r="C167" s="246"/>
      <c r="D167" s="246"/>
      <c r="E167" s="244"/>
      <c r="F167" s="244"/>
      <c r="G167" s="244"/>
      <c r="H167" s="244"/>
      <c r="I167" s="245"/>
      <c r="J167" s="244"/>
    </row>
    <row r="168" spans="1:10" ht="17.399999999999999" x14ac:dyDescent="0.25">
      <c r="A168" s="246"/>
      <c r="B168" s="246"/>
      <c r="C168" s="246"/>
      <c r="D168" s="246"/>
      <c r="E168" s="244"/>
      <c r="F168" s="244"/>
      <c r="G168" s="244"/>
      <c r="H168" s="244"/>
      <c r="I168" s="245"/>
      <c r="J168" s="244"/>
    </row>
    <row r="169" spans="1:10" ht="17.399999999999999" x14ac:dyDescent="0.25">
      <c r="A169" s="246"/>
      <c r="B169" s="246"/>
      <c r="C169" s="246"/>
      <c r="D169" s="246"/>
      <c r="E169" s="244"/>
      <c r="F169" s="244"/>
      <c r="G169" s="244"/>
      <c r="H169" s="244"/>
      <c r="I169" s="245"/>
      <c r="J169" s="244"/>
    </row>
    <row r="170" spans="1:10" ht="17.399999999999999" x14ac:dyDescent="0.25">
      <c r="A170" s="246"/>
      <c r="B170" s="246"/>
      <c r="C170" s="246"/>
      <c r="D170" s="246"/>
      <c r="E170" s="244"/>
      <c r="F170" s="244"/>
      <c r="G170" s="244"/>
      <c r="H170" s="244"/>
      <c r="I170" s="245"/>
      <c r="J170" s="244"/>
    </row>
    <row r="171" spans="1:10" ht="17.399999999999999" x14ac:dyDescent="0.25">
      <c r="A171" s="246"/>
      <c r="B171" s="246"/>
      <c r="C171" s="246"/>
      <c r="D171" s="246"/>
      <c r="E171" s="244"/>
      <c r="F171" s="244"/>
      <c r="G171" s="244"/>
      <c r="H171" s="244"/>
      <c r="I171" s="245"/>
      <c r="J171" s="244"/>
    </row>
    <row r="172" spans="1:10" ht="17.399999999999999" x14ac:dyDescent="0.25">
      <c r="A172" s="246"/>
      <c r="B172" s="246"/>
      <c r="C172" s="246"/>
      <c r="D172" s="246"/>
      <c r="E172" s="244"/>
      <c r="F172" s="244"/>
      <c r="G172" s="244"/>
      <c r="H172" s="244"/>
      <c r="I172" s="245"/>
      <c r="J172" s="244"/>
    </row>
    <row r="173" spans="1:10" ht="17.399999999999999" x14ac:dyDescent="0.25">
      <c r="A173" s="246"/>
      <c r="B173" s="246"/>
      <c r="C173" s="246"/>
      <c r="D173" s="246"/>
      <c r="E173" s="244"/>
      <c r="F173" s="244"/>
      <c r="G173" s="244"/>
      <c r="H173" s="244"/>
      <c r="I173" s="245"/>
      <c r="J173" s="244"/>
    </row>
    <row r="174" spans="1:10" ht="17.399999999999999" x14ac:dyDescent="0.25">
      <c r="A174" s="246"/>
      <c r="B174" s="246"/>
      <c r="C174" s="246"/>
      <c r="D174" s="246"/>
      <c r="E174" s="244"/>
      <c r="F174" s="244"/>
      <c r="G174" s="244"/>
      <c r="H174" s="244"/>
      <c r="I174" s="245"/>
      <c r="J174" s="244"/>
    </row>
    <row r="175" spans="1:10" ht="17.399999999999999" x14ac:dyDescent="0.25">
      <c r="A175" s="246"/>
      <c r="B175" s="246"/>
      <c r="C175" s="246"/>
      <c r="D175" s="246"/>
      <c r="E175" s="244"/>
      <c r="F175" s="244"/>
      <c r="G175" s="244"/>
      <c r="H175" s="244"/>
      <c r="I175" s="245"/>
      <c r="J175" s="244"/>
    </row>
    <row r="176" spans="1:10" ht="17.399999999999999" x14ac:dyDescent="0.25">
      <c r="A176" s="246"/>
      <c r="B176" s="246"/>
      <c r="C176" s="246"/>
      <c r="D176" s="246"/>
      <c r="E176" s="244"/>
      <c r="F176" s="244"/>
      <c r="G176" s="244"/>
      <c r="H176" s="244"/>
      <c r="I176" s="245"/>
      <c r="J176" s="244"/>
    </row>
    <row r="177" spans="1:10" ht="17.399999999999999" x14ac:dyDescent="0.25">
      <c r="A177" s="246"/>
      <c r="B177" s="246"/>
      <c r="C177" s="246"/>
      <c r="D177" s="246"/>
      <c r="E177" s="244"/>
      <c r="F177" s="244"/>
      <c r="G177" s="244"/>
      <c r="H177" s="244"/>
      <c r="I177" s="245"/>
      <c r="J177" s="244"/>
    </row>
    <row r="178" spans="1:10" ht="17.399999999999999" x14ac:dyDescent="0.25">
      <c r="A178" s="246"/>
      <c r="B178" s="246"/>
      <c r="C178" s="246"/>
      <c r="D178" s="246"/>
      <c r="E178" s="244"/>
      <c r="F178" s="244"/>
      <c r="G178" s="244"/>
      <c r="H178" s="244"/>
      <c r="I178" s="245"/>
      <c r="J178" s="244"/>
    </row>
    <row r="179" spans="1:10" ht="17.399999999999999" x14ac:dyDescent="0.25">
      <c r="A179" s="246"/>
      <c r="B179" s="246"/>
      <c r="C179" s="246"/>
      <c r="D179" s="246"/>
      <c r="E179" s="244"/>
      <c r="F179" s="244"/>
      <c r="G179" s="244"/>
      <c r="H179" s="244"/>
      <c r="I179" s="245"/>
      <c r="J179" s="244"/>
    </row>
    <row r="180" spans="1:10" ht="17.399999999999999" x14ac:dyDescent="0.25">
      <c r="A180" s="246"/>
      <c r="B180" s="246"/>
      <c r="C180" s="246"/>
      <c r="D180" s="246"/>
      <c r="E180" s="244"/>
      <c r="F180" s="244"/>
      <c r="G180" s="244"/>
      <c r="H180" s="244"/>
      <c r="I180" s="245"/>
      <c r="J180" s="244"/>
    </row>
    <row r="181" spans="1:10" ht="17.399999999999999" x14ac:dyDescent="0.25">
      <c r="A181" s="246"/>
      <c r="B181" s="246"/>
      <c r="C181" s="246"/>
      <c r="D181" s="246"/>
      <c r="E181" s="244"/>
      <c r="F181" s="244"/>
      <c r="G181" s="244"/>
      <c r="H181" s="244"/>
      <c r="I181" s="245"/>
      <c r="J181" s="244"/>
    </row>
    <row r="182" spans="1:10" ht="17.399999999999999" x14ac:dyDescent="0.25">
      <c r="A182" s="246"/>
      <c r="B182" s="246"/>
      <c r="C182" s="246"/>
      <c r="D182" s="246"/>
      <c r="E182" s="244"/>
      <c r="F182" s="244"/>
      <c r="G182" s="244"/>
      <c r="H182" s="244"/>
      <c r="I182" s="245"/>
      <c r="J182" s="244"/>
    </row>
    <row r="183" spans="1:10" ht="17.399999999999999" x14ac:dyDescent="0.25">
      <c r="A183" s="246"/>
      <c r="B183" s="246"/>
      <c r="C183" s="246"/>
      <c r="D183" s="246"/>
      <c r="E183" s="244"/>
      <c r="F183" s="244"/>
      <c r="G183" s="244"/>
      <c r="H183" s="244"/>
      <c r="I183" s="245"/>
      <c r="J183" s="244"/>
    </row>
    <row r="184" spans="1:10" ht="17.399999999999999" x14ac:dyDescent="0.25">
      <c r="A184" s="246"/>
      <c r="B184" s="246"/>
      <c r="C184" s="246"/>
      <c r="D184" s="246"/>
      <c r="E184" s="244"/>
      <c r="F184" s="244"/>
      <c r="G184" s="244"/>
      <c r="H184" s="244"/>
      <c r="I184" s="245"/>
      <c r="J184" s="244"/>
    </row>
    <row r="185" spans="1:10" ht="17.399999999999999" x14ac:dyDescent="0.25">
      <c r="A185" s="246"/>
      <c r="B185" s="246"/>
      <c r="C185" s="246"/>
      <c r="D185" s="246"/>
      <c r="E185" s="244"/>
      <c r="F185" s="244"/>
      <c r="G185" s="244"/>
      <c r="H185" s="244"/>
      <c r="I185" s="245"/>
      <c r="J185" s="244"/>
    </row>
    <row r="186" spans="1:10" ht="17.399999999999999" x14ac:dyDescent="0.25">
      <c r="A186" s="246"/>
      <c r="B186" s="246"/>
      <c r="C186" s="246"/>
      <c r="D186" s="246"/>
      <c r="E186" s="244"/>
      <c r="F186" s="244"/>
      <c r="G186" s="244"/>
      <c r="H186" s="244"/>
      <c r="I186" s="245"/>
      <c r="J186" s="244"/>
    </row>
    <row r="187" spans="1:10" ht="17.399999999999999" x14ac:dyDescent="0.25">
      <c r="A187" s="246"/>
      <c r="B187" s="246"/>
      <c r="C187" s="246"/>
      <c r="D187" s="246"/>
      <c r="E187" s="244"/>
      <c r="F187" s="244"/>
      <c r="G187" s="244"/>
      <c r="H187" s="244"/>
      <c r="I187" s="245"/>
      <c r="J187" s="244"/>
    </row>
    <row r="188" spans="1:10" ht="17.399999999999999" x14ac:dyDescent="0.25">
      <c r="A188" s="246"/>
      <c r="B188" s="246"/>
      <c r="C188" s="246"/>
      <c r="D188" s="246"/>
      <c r="E188" s="244"/>
      <c r="F188" s="244"/>
      <c r="G188" s="244"/>
      <c r="H188" s="244"/>
      <c r="I188" s="245"/>
      <c r="J188" s="244"/>
    </row>
    <row r="189" spans="1:10" ht="17.399999999999999" x14ac:dyDescent="0.25">
      <c r="A189" s="246"/>
      <c r="B189" s="246"/>
      <c r="C189" s="246"/>
      <c r="D189" s="246"/>
      <c r="E189" s="244"/>
      <c r="F189" s="244"/>
      <c r="G189" s="244"/>
      <c r="H189" s="244"/>
      <c r="I189" s="245"/>
      <c r="J189" s="244"/>
    </row>
    <row r="190" spans="1:10" ht="17.399999999999999" x14ac:dyDescent="0.25">
      <c r="A190" s="246"/>
      <c r="B190" s="246"/>
      <c r="C190" s="246"/>
      <c r="D190" s="246"/>
      <c r="E190" s="244"/>
      <c r="F190" s="244"/>
      <c r="G190" s="244"/>
      <c r="H190" s="244"/>
      <c r="I190" s="245"/>
      <c r="J190" s="244"/>
    </row>
    <row r="191" spans="1:10" ht="17.399999999999999" x14ac:dyDescent="0.25">
      <c r="A191" s="246"/>
      <c r="B191" s="246"/>
      <c r="C191" s="246"/>
      <c r="D191" s="246"/>
      <c r="E191" s="244"/>
      <c r="F191" s="244"/>
      <c r="G191" s="244"/>
      <c r="H191" s="244"/>
      <c r="I191" s="245"/>
      <c r="J191" s="244"/>
    </row>
    <row r="192" spans="1:10" ht="17.399999999999999" x14ac:dyDescent="0.25">
      <c r="A192" s="246"/>
      <c r="B192" s="246"/>
      <c r="C192" s="246"/>
      <c r="D192" s="246"/>
      <c r="E192" s="244"/>
      <c r="F192" s="244"/>
      <c r="G192" s="244"/>
      <c r="H192" s="244"/>
      <c r="I192" s="245"/>
      <c r="J192" s="244"/>
    </row>
    <row r="193" spans="1:10" ht="17.399999999999999" x14ac:dyDescent="0.25">
      <c r="A193" s="246"/>
      <c r="B193" s="246"/>
      <c r="C193" s="246"/>
      <c r="D193" s="246"/>
      <c r="E193" s="244"/>
      <c r="F193" s="244"/>
      <c r="G193" s="244"/>
      <c r="H193" s="244"/>
      <c r="I193" s="245"/>
      <c r="J193" s="244"/>
    </row>
    <row r="194" spans="1:10" ht="17.399999999999999" x14ac:dyDescent="0.25">
      <c r="A194" s="246"/>
      <c r="B194" s="246"/>
      <c r="C194" s="246"/>
      <c r="D194" s="246"/>
      <c r="E194" s="244"/>
      <c r="F194" s="244"/>
      <c r="G194" s="244"/>
      <c r="H194" s="244"/>
      <c r="I194" s="245"/>
      <c r="J194" s="244"/>
    </row>
    <row r="195" spans="1:10" ht="17.399999999999999" x14ac:dyDescent="0.25">
      <c r="A195" s="246"/>
      <c r="B195" s="246"/>
      <c r="C195" s="246"/>
      <c r="D195" s="246"/>
      <c r="E195" s="244"/>
      <c r="F195" s="244"/>
      <c r="G195" s="244"/>
      <c r="H195" s="244"/>
      <c r="I195" s="245"/>
      <c r="J195" s="244"/>
    </row>
    <row r="196" spans="1:10" ht="17.399999999999999" x14ac:dyDescent="0.25">
      <c r="A196" s="246"/>
      <c r="B196" s="246"/>
      <c r="C196" s="246"/>
      <c r="D196" s="246"/>
      <c r="E196" s="244"/>
      <c r="F196" s="244"/>
      <c r="G196" s="244"/>
      <c r="H196" s="244"/>
      <c r="I196" s="245"/>
      <c r="J196" s="244"/>
    </row>
    <row r="197" spans="1:10" ht="17.399999999999999" x14ac:dyDescent="0.25">
      <c r="A197" s="246"/>
      <c r="B197" s="246"/>
      <c r="C197" s="246"/>
      <c r="D197" s="246"/>
      <c r="E197" s="244"/>
      <c r="F197" s="244"/>
      <c r="G197" s="244"/>
      <c r="H197" s="244"/>
      <c r="I197" s="245"/>
      <c r="J197" s="244"/>
    </row>
    <row r="198" spans="1:10" ht="17.399999999999999" x14ac:dyDescent="0.25">
      <c r="A198" s="246"/>
      <c r="B198" s="246"/>
      <c r="C198" s="246"/>
      <c r="D198" s="246"/>
      <c r="E198" s="244"/>
      <c r="F198" s="244"/>
      <c r="G198" s="244"/>
      <c r="H198" s="244"/>
      <c r="I198" s="245"/>
      <c r="J198" s="244"/>
    </row>
    <row r="199" spans="1:10" ht="17.399999999999999" x14ac:dyDescent="0.25">
      <c r="A199" s="246"/>
      <c r="B199" s="246"/>
      <c r="C199" s="246"/>
      <c r="D199" s="246"/>
      <c r="E199" s="244"/>
      <c r="F199" s="244"/>
      <c r="G199" s="244"/>
      <c r="H199" s="244"/>
      <c r="I199" s="245"/>
      <c r="J199" s="244"/>
    </row>
    <row r="200" spans="1:10" ht="17.399999999999999" x14ac:dyDescent="0.25">
      <c r="A200" s="246"/>
      <c r="B200" s="246"/>
      <c r="C200" s="246"/>
      <c r="D200" s="246"/>
      <c r="E200" s="244"/>
      <c r="F200" s="244"/>
      <c r="G200" s="244"/>
      <c r="H200" s="244"/>
      <c r="I200" s="245"/>
      <c r="J200" s="244"/>
    </row>
    <row r="201" spans="1:10" ht="17.399999999999999" x14ac:dyDescent="0.25">
      <c r="A201" s="246"/>
      <c r="B201" s="246"/>
      <c r="C201" s="246"/>
      <c r="D201" s="246"/>
      <c r="E201" s="244"/>
      <c r="F201" s="244"/>
      <c r="G201" s="244"/>
      <c r="H201" s="244"/>
      <c r="I201" s="245"/>
      <c r="J201" s="244"/>
    </row>
    <row r="202" spans="1:10" ht="17.399999999999999" x14ac:dyDescent="0.25">
      <c r="A202" s="246"/>
      <c r="B202" s="246"/>
      <c r="C202" s="246"/>
      <c r="D202" s="246"/>
      <c r="E202" s="244"/>
      <c r="F202" s="244"/>
      <c r="G202" s="244"/>
      <c r="H202" s="244"/>
      <c r="I202" s="245"/>
      <c r="J202" s="244"/>
    </row>
    <row r="203" spans="1:10" ht="17.399999999999999" x14ac:dyDescent="0.25">
      <c r="A203" s="246"/>
      <c r="B203" s="246"/>
      <c r="C203" s="246"/>
      <c r="D203" s="246"/>
      <c r="E203" s="244"/>
      <c r="F203" s="244"/>
      <c r="G203" s="244"/>
      <c r="H203" s="244"/>
      <c r="I203" s="245"/>
      <c r="J203" s="244"/>
    </row>
    <row r="204" spans="1:10" ht="17.399999999999999" x14ac:dyDescent="0.25">
      <c r="A204" s="246"/>
      <c r="B204" s="246"/>
      <c r="C204" s="246"/>
      <c r="D204" s="246"/>
      <c r="E204" s="244"/>
      <c r="F204" s="244"/>
      <c r="G204" s="244"/>
      <c r="H204" s="244"/>
      <c r="I204" s="245"/>
      <c r="J204" s="244"/>
    </row>
    <row r="205" spans="1:10" ht="17.399999999999999" x14ac:dyDescent="0.25">
      <c r="A205" s="246"/>
      <c r="B205" s="246"/>
      <c r="C205" s="246"/>
      <c r="D205" s="246"/>
      <c r="E205" s="244"/>
      <c r="F205" s="244"/>
      <c r="G205" s="244"/>
      <c r="H205" s="244"/>
      <c r="I205" s="245"/>
      <c r="J205" s="244"/>
    </row>
    <row r="206" spans="1:10" ht="17.399999999999999" x14ac:dyDescent="0.25">
      <c r="A206" s="246"/>
      <c r="B206" s="246"/>
      <c r="C206" s="246"/>
      <c r="D206" s="246"/>
      <c r="E206" s="244"/>
      <c r="F206" s="244"/>
      <c r="G206" s="244"/>
      <c r="H206" s="244"/>
      <c r="I206" s="245"/>
      <c r="J206" s="244"/>
    </row>
    <row r="207" spans="1:10" ht="17.399999999999999" x14ac:dyDescent="0.25">
      <c r="A207" s="246"/>
      <c r="B207" s="246"/>
      <c r="C207" s="246"/>
      <c r="D207" s="246"/>
      <c r="E207" s="244"/>
      <c r="F207" s="244"/>
      <c r="G207" s="244"/>
      <c r="H207" s="244"/>
      <c r="I207" s="245"/>
      <c r="J207" s="244"/>
    </row>
    <row r="208" spans="1:10" ht="17.399999999999999" x14ac:dyDescent="0.25">
      <c r="A208" s="246"/>
      <c r="B208" s="246"/>
      <c r="C208" s="246"/>
      <c r="D208" s="246"/>
      <c r="E208" s="244"/>
      <c r="F208" s="244"/>
      <c r="G208" s="244"/>
      <c r="H208" s="244"/>
      <c r="I208" s="245"/>
      <c r="J208" s="244"/>
    </row>
    <row r="209" spans="1:10" ht="17.399999999999999" x14ac:dyDescent="0.25">
      <c r="A209" s="246"/>
      <c r="B209" s="246"/>
      <c r="C209" s="246"/>
      <c r="D209" s="246"/>
      <c r="E209" s="244"/>
      <c r="F209" s="244"/>
      <c r="G209" s="244"/>
      <c r="H209" s="244"/>
      <c r="I209" s="245"/>
      <c r="J209" s="244"/>
    </row>
    <row r="210" spans="1:10" ht="17.399999999999999" x14ac:dyDescent="0.25">
      <c r="A210" s="246"/>
      <c r="B210" s="246"/>
      <c r="C210" s="246"/>
      <c r="D210" s="246"/>
      <c r="E210" s="244"/>
      <c r="F210" s="244"/>
      <c r="G210" s="244"/>
      <c r="H210" s="244"/>
      <c r="I210" s="245"/>
      <c r="J210" s="244"/>
    </row>
    <row r="211" spans="1:10" ht="17.399999999999999" x14ac:dyDescent="0.25">
      <c r="A211" s="246"/>
      <c r="B211" s="246"/>
      <c r="C211" s="246"/>
      <c r="D211" s="246"/>
      <c r="E211" s="244"/>
      <c r="F211" s="244"/>
      <c r="G211" s="244"/>
      <c r="H211" s="244"/>
      <c r="I211" s="245"/>
      <c r="J211" s="244"/>
    </row>
    <row r="212" spans="1:10" ht="17.399999999999999" x14ac:dyDescent="0.25">
      <c r="A212" s="246"/>
      <c r="B212" s="246"/>
      <c r="C212" s="246"/>
      <c r="D212" s="246"/>
      <c r="E212" s="244"/>
      <c r="F212" s="244"/>
      <c r="G212" s="244"/>
      <c r="H212" s="244"/>
      <c r="I212" s="245"/>
      <c r="J212" s="244"/>
    </row>
    <row r="213" spans="1:10" ht="17.399999999999999" x14ac:dyDescent="0.25">
      <c r="A213" s="246"/>
      <c r="B213" s="246"/>
      <c r="C213" s="246"/>
      <c r="D213" s="246"/>
      <c r="E213" s="244"/>
      <c r="F213" s="244"/>
      <c r="G213" s="244"/>
      <c r="H213" s="244"/>
      <c r="I213" s="245"/>
      <c r="J213" s="244"/>
    </row>
    <row r="214" spans="1:10" ht="17.399999999999999" x14ac:dyDescent="0.25">
      <c r="A214" s="246"/>
      <c r="B214" s="246"/>
      <c r="C214" s="246"/>
      <c r="D214" s="246"/>
      <c r="E214" s="244"/>
      <c r="F214" s="244"/>
      <c r="G214" s="244"/>
      <c r="H214" s="244"/>
      <c r="I214" s="245"/>
      <c r="J214" s="244"/>
    </row>
    <row r="215" spans="1:10" ht="17.399999999999999" x14ac:dyDescent="0.25">
      <c r="A215" s="246"/>
      <c r="B215" s="246"/>
      <c r="C215" s="246"/>
      <c r="D215" s="246"/>
      <c r="E215" s="244"/>
      <c r="F215" s="244"/>
      <c r="G215" s="244"/>
      <c r="H215" s="244"/>
      <c r="I215" s="245"/>
      <c r="J215" s="244"/>
    </row>
    <row r="216" spans="1:10" ht="17.399999999999999" x14ac:dyDescent="0.25">
      <c r="A216" s="246"/>
      <c r="B216" s="246"/>
      <c r="C216" s="246"/>
      <c r="D216" s="246"/>
      <c r="E216" s="244"/>
      <c r="F216" s="244"/>
      <c r="G216" s="244"/>
      <c r="H216" s="244"/>
      <c r="I216" s="245"/>
      <c r="J216" s="244"/>
    </row>
    <row r="217" spans="1:10" ht="17.399999999999999" x14ac:dyDescent="0.25">
      <c r="A217" s="246"/>
      <c r="B217" s="246"/>
      <c r="C217" s="246"/>
      <c r="D217" s="246"/>
      <c r="E217" s="244"/>
      <c r="F217" s="244"/>
      <c r="G217" s="244"/>
      <c r="H217" s="244"/>
      <c r="I217" s="245"/>
      <c r="J217" s="244"/>
    </row>
    <row r="218" spans="1:10" ht="17.399999999999999" x14ac:dyDescent="0.25">
      <c r="A218" s="246"/>
      <c r="B218" s="246"/>
      <c r="C218" s="246"/>
      <c r="D218" s="246"/>
      <c r="E218" s="244"/>
      <c r="F218" s="244"/>
      <c r="G218" s="244"/>
      <c r="H218" s="244"/>
      <c r="I218" s="245"/>
      <c r="J218" s="244"/>
    </row>
    <row r="219" spans="1:10" ht="17.399999999999999" x14ac:dyDescent="0.25">
      <c r="A219" s="246"/>
      <c r="B219" s="246"/>
      <c r="C219" s="246"/>
      <c r="D219" s="246"/>
      <c r="E219" s="244"/>
      <c r="F219" s="244"/>
      <c r="G219" s="244"/>
      <c r="H219" s="244"/>
      <c r="I219" s="245"/>
      <c r="J219" s="244"/>
    </row>
    <row r="220" spans="1:10" ht="17.399999999999999" x14ac:dyDescent="0.25">
      <c r="A220" s="246"/>
      <c r="B220" s="246"/>
      <c r="C220" s="246"/>
      <c r="D220" s="246"/>
      <c r="E220" s="244"/>
      <c r="F220" s="244"/>
      <c r="G220" s="244"/>
      <c r="H220" s="244"/>
      <c r="I220" s="245"/>
      <c r="J220" s="244"/>
    </row>
    <row r="221" spans="1:10" ht="17.399999999999999" x14ac:dyDescent="0.25">
      <c r="A221" s="246"/>
      <c r="B221" s="246"/>
      <c r="C221" s="246"/>
      <c r="D221" s="246"/>
      <c r="E221" s="244"/>
      <c r="F221" s="244"/>
      <c r="G221" s="244"/>
      <c r="H221" s="244"/>
      <c r="I221" s="245"/>
      <c r="J221" s="244"/>
    </row>
    <row r="222" spans="1:10" ht="17.399999999999999" x14ac:dyDescent="0.25">
      <c r="A222" s="246"/>
      <c r="B222" s="246"/>
      <c r="C222" s="246"/>
      <c r="D222" s="246"/>
      <c r="E222" s="244"/>
      <c r="F222" s="244"/>
      <c r="G222" s="244"/>
      <c r="H222" s="244"/>
      <c r="I222" s="245"/>
      <c r="J222" s="244"/>
    </row>
    <row r="223" spans="1:10" ht="17.399999999999999" x14ac:dyDescent="0.25">
      <c r="A223" s="246"/>
      <c r="B223" s="246"/>
      <c r="C223" s="246"/>
      <c r="D223" s="246"/>
      <c r="E223" s="244"/>
      <c r="F223" s="244"/>
      <c r="G223" s="244"/>
      <c r="H223" s="244"/>
      <c r="I223" s="245"/>
      <c r="J223" s="244"/>
    </row>
    <row r="224" spans="1:10" ht="17.399999999999999" x14ac:dyDescent="0.25">
      <c r="A224" s="246"/>
      <c r="B224" s="246"/>
      <c r="C224" s="246"/>
      <c r="D224" s="246"/>
      <c r="E224" s="244"/>
      <c r="F224" s="244"/>
      <c r="G224" s="244"/>
      <c r="H224" s="244"/>
      <c r="I224" s="245"/>
      <c r="J224" s="244"/>
    </row>
    <row r="225" spans="1:10" ht="17.399999999999999" x14ac:dyDescent="0.25">
      <c r="A225" s="246"/>
      <c r="B225" s="246"/>
      <c r="C225" s="246"/>
      <c r="D225" s="246"/>
      <c r="E225" s="244"/>
      <c r="F225" s="244"/>
      <c r="G225" s="244"/>
      <c r="H225" s="244"/>
      <c r="I225" s="245"/>
      <c r="J225" s="244"/>
    </row>
    <row r="226" spans="1:10" ht="17.399999999999999" x14ac:dyDescent="0.25">
      <c r="A226" s="246"/>
      <c r="B226" s="246"/>
      <c r="C226" s="246"/>
      <c r="D226" s="246"/>
      <c r="E226" s="244"/>
      <c r="F226" s="244"/>
      <c r="G226" s="244"/>
      <c r="H226" s="244"/>
      <c r="I226" s="245"/>
      <c r="J226" s="244"/>
    </row>
    <row r="227" spans="1:10" ht="17.399999999999999" x14ac:dyDescent="0.25">
      <c r="A227" s="246"/>
      <c r="B227" s="246"/>
      <c r="C227" s="246"/>
      <c r="D227" s="246"/>
      <c r="E227" s="244"/>
      <c r="F227" s="244"/>
      <c r="G227" s="244"/>
      <c r="H227" s="244"/>
      <c r="I227" s="245"/>
      <c r="J227" s="244"/>
    </row>
    <row r="228" spans="1:10" ht="17.399999999999999" x14ac:dyDescent="0.25">
      <c r="A228" s="246"/>
      <c r="B228" s="246"/>
      <c r="C228" s="246"/>
      <c r="D228" s="246"/>
      <c r="E228" s="244"/>
      <c r="F228" s="244"/>
      <c r="G228" s="244"/>
      <c r="H228" s="244"/>
      <c r="I228" s="245"/>
      <c r="J228" s="244"/>
    </row>
    <row r="229" spans="1:10" ht="17.399999999999999" x14ac:dyDescent="0.25">
      <c r="A229" s="246"/>
      <c r="B229" s="246"/>
      <c r="C229" s="246"/>
      <c r="D229" s="246"/>
      <c r="E229" s="244"/>
      <c r="F229" s="244"/>
      <c r="G229" s="244"/>
      <c r="H229" s="244"/>
      <c r="I229" s="245"/>
      <c r="J229" s="244"/>
    </row>
    <row r="230" spans="1:10" ht="17.399999999999999" x14ac:dyDescent="0.25">
      <c r="A230" s="246"/>
      <c r="B230" s="246"/>
      <c r="C230" s="246"/>
      <c r="D230" s="246"/>
      <c r="E230" s="244"/>
      <c r="F230" s="244"/>
      <c r="G230" s="244"/>
      <c r="H230" s="244"/>
      <c r="I230" s="245"/>
      <c r="J230" s="244"/>
    </row>
    <row r="231" spans="1:10" ht="17.399999999999999" x14ac:dyDescent="0.25">
      <c r="A231" s="246"/>
      <c r="B231" s="246"/>
      <c r="C231" s="246"/>
      <c r="D231" s="246"/>
      <c r="E231" s="244"/>
      <c r="F231" s="244"/>
      <c r="G231" s="244"/>
      <c r="H231" s="244"/>
      <c r="I231" s="245"/>
      <c r="J231" s="244"/>
    </row>
    <row r="232" spans="1:10" ht="17.399999999999999" x14ac:dyDescent="0.25">
      <c r="A232" s="246"/>
      <c r="B232" s="246"/>
      <c r="C232" s="246"/>
      <c r="D232" s="246"/>
      <c r="E232" s="244"/>
      <c r="F232" s="244"/>
      <c r="G232" s="244"/>
      <c r="H232" s="244"/>
      <c r="I232" s="245"/>
      <c r="J232" s="244"/>
    </row>
    <row r="233" spans="1:10" ht="17.399999999999999" x14ac:dyDescent="0.25">
      <c r="A233" s="246"/>
      <c r="B233" s="246"/>
      <c r="C233" s="246"/>
      <c r="D233" s="246"/>
      <c r="E233" s="244"/>
      <c r="F233" s="244"/>
      <c r="G233" s="244"/>
      <c r="H233" s="244"/>
      <c r="I233" s="245"/>
      <c r="J233" s="244"/>
    </row>
    <row r="234" spans="1:10" ht="17.399999999999999" x14ac:dyDescent="0.25">
      <c r="A234" s="246"/>
      <c r="B234" s="246"/>
      <c r="C234" s="246"/>
      <c r="D234" s="246"/>
      <c r="E234" s="244"/>
      <c r="F234" s="244"/>
      <c r="G234" s="244"/>
      <c r="H234" s="244"/>
      <c r="I234" s="245"/>
      <c r="J234" s="244"/>
    </row>
    <row r="235" spans="1:10" ht="17.399999999999999" x14ac:dyDescent="0.25">
      <c r="A235" s="246"/>
      <c r="B235" s="246"/>
      <c r="C235" s="246"/>
      <c r="D235" s="246"/>
      <c r="E235" s="244"/>
      <c r="F235" s="244"/>
      <c r="G235" s="244"/>
      <c r="H235" s="244"/>
      <c r="I235" s="245"/>
      <c r="J235" s="244"/>
    </row>
    <row r="236" spans="1:10" ht="17.399999999999999" x14ac:dyDescent="0.25">
      <c r="A236" s="246"/>
      <c r="B236" s="246"/>
      <c r="C236" s="246"/>
      <c r="D236" s="246"/>
      <c r="E236" s="244"/>
      <c r="F236" s="244"/>
      <c r="G236" s="244"/>
      <c r="H236" s="244"/>
      <c r="I236" s="245"/>
      <c r="J236" s="244"/>
    </row>
    <row r="237" spans="1:10" ht="17.399999999999999" x14ac:dyDescent="0.25">
      <c r="A237" s="246"/>
      <c r="B237" s="246"/>
      <c r="C237" s="246"/>
      <c r="D237" s="246"/>
      <c r="E237" s="244"/>
      <c r="F237" s="244"/>
      <c r="G237" s="244"/>
      <c r="H237" s="244"/>
      <c r="I237" s="245"/>
      <c r="J237" s="244"/>
    </row>
    <row r="238" spans="1:10" ht="17.399999999999999" x14ac:dyDescent="0.25">
      <c r="A238" s="246"/>
      <c r="B238" s="246"/>
      <c r="C238" s="246"/>
      <c r="D238" s="246"/>
      <c r="E238" s="244"/>
      <c r="F238" s="244"/>
      <c r="G238" s="244"/>
      <c r="H238" s="244"/>
      <c r="I238" s="245"/>
      <c r="J238" s="244"/>
    </row>
    <row r="239" spans="1:10" ht="17.399999999999999" x14ac:dyDescent="0.25">
      <c r="A239" s="246"/>
      <c r="B239" s="246"/>
      <c r="C239" s="246"/>
      <c r="D239" s="246"/>
      <c r="E239" s="244"/>
      <c r="F239" s="244"/>
      <c r="G239" s="244"/>
      <c r="H239" s="244"/>
      <c r="I239" s="245"/>
      <c r="J239" s="244"/>
    </row>
    <row r="240" spans="1:10" ht="17.399999999999999" x14ac:dyDescent="0.25">
      <c r="A240" s="246"/>
      <c r="B240" s="246"/>
      <c r="C240" s="246"/>
      <c r="D240" s="246"/>
      <c r="E240" s="244"/>
      <c r="F240" s="244"/>
      <c r="G240" s="244"/>
      <c r="H240" s="244"/>
      <c r="I240" s="245"/>
      <c r="J240" s="244"/>
    </row>
    <row r="241" spans="1:10" ht="17.399999999999999" x14ac:dyDescent="0.25">
      <c r="A241" s="246"/>
      <c r="B241" s="246"/>
      <c r="C241" s="246"/>
      <c r="D241" s="246"/>
      <c r="E241" s="244"/>
      <c r="F241" s="244"/>
      <c r="G241" s="244"/>
      <c r="H241" s="244"/>
      <c r="I241" s="245"/>
      <c r="J241" s="244"/>
    </row>
    <row r="242" spans="1:10" ht="17.399999999999999" x14ac:dyDescent="0.25">
      <c r="A242" s="246"/>
      <c r="B242" s="246"/>
      <c r="C242" s="246"/>
      <c r="D242" s="246"/>
      <c r="E242" s="244"/>
      <c r="F242" s="244"/>
      <c r="G242" s="244"/>
      <c r="H242" s="244"/>
      <c r="I242" s="245"/>
      <c r="J242" s="244"/>
    </row>
    <row r="243" spans="1:10" ht="17.399999999999999" x14ac:dyDescent="0.25">
      <c r="A243" s="246"/>
      <c r="B243" s="246"/>
      <c r="C243" s="246"/>
      <c r="D243" s="246"/>
      <c r="E243" s="244"/>
      <c r="F243" s="244"/>
      <c r="G243" s="244"/>
      <c r="H243" s="244"/>
      <c r="I243" s="245"/>
      <c r="J243" s="244"/>
    </row>
    <row r="244" spans="1:10" ht="17.399999999999999" x14ac:dyDescent="0.25">
      <c r="A244" s="246"/>
      <c r="B244" s="246"/>
      <c r="C244" s="246"/>
      <c r="D244" s="246"/>
      <c r="E244" s="244"/>
      <c r="F244" s="244"/>
      <c r="G244" s="244"/>
      <c r="H244" s="244"/>
      <c r="I244" s="245"/>
      <c r="J244" s="244"/>
    </row>
    <row r="245" spans="1:10" ht="17.399999999999999" x14ac:dyDescent="0.25">
      <c r="A245" s="246"/>
      <c r="B245" s="246"/>
      <c r="C245" s="246"/>
      <c r="D245" s="246"/>
      <c r="E245" s="244"/>
      <c r="F245" s="244"/>
      <c r="G245" s="244"/>
      <c r="H245" s="244"/>
      <c r="I245" s="245"/>
      <c r="J245" s="244"/>
    </row>
    <row r="246" spans="1:10" ht="17.399999999999999" x14ac:dyDescent="0.25">
      <c r="A246" s="246"/>
      <c r="B246" s="246"/>
      <c r="C246" s="246"/>
      <c r="D246" s="246"/>
      <c r="E246" s="244"/>
      <c r="F246" s="244"/>
      <c r="G246" s="244"/>
      <c r="H246" s="244"/>
      <c r="I246" s="245"/>
      <c r="J246" s="244"/>
    </row>
    <row r="247" spans="1:10" ht="17.399999999999999" x14ac:dyDescent="0.25">
      <c r="A247" s="246"/>
      <c r="B247" s="246"/>
      <c r="C247" s="246"/>
      <c r="D247" s="246"/>
      <c r="E247" s="244"/>
      <c r="F247" s="244"/>
      <c r="G247" s="244"/>
      <c r="H247" s="244"/>
      <c r="I247" s="245"/>
      <c r="J247" s="244"/>
    </row>
    <row r="248" spans="1:10" ht="17.399999999999999" x14ac:dyDescent="0.25">
      <c r="A248" s="246"/>
      <c r="B248" s="246"/>
      <c r="C248" s="246"/>
      <c r="D248" s="246"/>
      <c r="E248" s="244"/>
      <c r="F248" s="244"/>
      <c r="G248" s="244"/>
      <c r="H248" s="244"/>
      <c r="I248" s="245"/>
      <c r="J248" s="244"/>
    </row>
    <row r="249" spans="1:10" ht="17.399999999999999" x14ac:dyDescent="0.25">
      <c r="A249" s="246"/>
      <c r="B249" s="246"/>
      <c r="C249" s="246"/>
      <c r="D249" s="246"/>
      <c r="E249" s="244"/>
      <c r="F249" s="244"/>
      <c r="G249" s="244"/>
      <c r="H249" s="244"/>
      <c r="I249" s="245"/>
      <c r="J249" s="244"/>
    </row>
    <row r="250" spans="1:10" ht="17.399999999999999" x14ac:dyDescent="0.25">
      <c r="A250" s="246"/>
      <c r="B250" s="246"/>
      <c r="C250" s="246"/>
      <c r="D250" s="246"/>
      <c r="E250" s="244"/>
      <c r="F250" s="244"/>
      <c r="G250" s="244"/>
      <c r="H250" s="244"/>
      <c r="I250" s="245"/>
      <c r="J250" s="244"/>
    </row>
    <row r="251" spans="1:10" ht="17.399999999999999" x14ac:dyDescent="0.25">
      <c r="A251" s="246"/>
      <c r="B251" s="246"/>
      <c r="C251" s="246"/>
      <c r="D251" s="246"/>
      <c r="E251" s="244"/>
      <c r="F251" s="244"/>
      <c r="G251" s="244"/>
      <c r="H251" s="244"/>
      <c r="I251" s="245"/>
      <c r="J251" s="244"/>
    </row>
    <row r="252" spans="1:10" ht="17.399999999999999" x14ac:dyDescent="0.25">
      <c r="A252" s="246"/>
      <c r="B252" s="246"/>
      <c r="C252" s="246"/>
      <c r="D252" s="246"/>
      <c r="E252" s="244"/>
      <c r="F252" s="244"/>
      <c r="G252" s="244"/>
      <c r="H252" s="244"/>
      <c r="I252" s="245"/>
      <c r="J252" s="244"/>
    </row>
    <row r="253" spans="1:10" ht="17.399999999999999" x14ac:dyDescent="0.25">
      <c r="A253" s="246"/>
      <c r="B253" s="246"/>
      <c r="C253" s="246"/>
      <c r="D253" s="246"/>
      <c r="E253" s="244"/>
      <c r="F253" s="244"/>
      <c r="G253" s="244"/>
      <c r="H253" s="244"/>
      <c r="I253" s="245"/>
      <c r="J253" s="244"/>
    </row>
    <row r="254" spans="1:10" ht="17.399999999999999" x14ac:dyDescent="0.25">
      <c r="A254" s="246"/>
      <c r="B254" s="246"/>
      <c r="C254" s="246"/>
      <c r="D254" s="246"/>
      <c r="E254" s="244"/>
      <c r="F254" s="244"/>
      <c r="G254" s="244"/>
      <c r="H254" s="244"/>
      <c r="I254" s="245"/>
      <c r="J254" s="244"/>
    </row>
    <row r="255" spans="1:10" ht="17.399999999999999" x14ac:dyDescent="0.25">
      <c r="A255" s="246"/>
      <c r="B255" s="246"/>
      <c r="C255" s="246"/>
      <c r="D255" s="246"/>
      <c r="E255" s="244"/>
      <c r="F255" s="244"/>
      <c r="G255" s="244"/>
      <c r="H255" s="244"/>
      <c r="I255" s="245"/>
      <c r="J255" s="244"/>
    </row>
    <row r="256" spans="1:10" ht="17.399999999999999" x14ac:dyDescent="0.25">
      <c r="A256" s="246"/>
      <c r="B256" s="246"/>
      <c r="C256" s="246"/>
      <c r="D256" s="246"/>
      <c r="E256" s="244"/>
      <c r="F256" s="244"/>
      <c r="G256" s="244"/>
      <c r="H256" s="244"/>
      <c r="I256" s="245"/>
      <c r="J256" s="244"/>
    </row>
    <row r="257" spans="1:10" ht="17.399999999999999" x14ac:dyDescent="0.25">
      <c r="A257" s="246"/>
      <c r="B257" s="246"/>
      <c r="C257" s="246"/>
      <c r="D257" s="246"/>
      <c r="E257" s="244"/>
      <c r="F257" s="244"/>
      <c r="G257" s="244"/>
      <c r="H257" s="244"/>
      <c r="I257" s="245"/>
      <c r="J257" s="244"/>
    </row>
    <row r="258" spans="1:10" ht="17.399999999999999" x14ac:dyDescent="0.25">
      <c r="A258" s="246"/>
      <c r="B258" s="246"/>
      <c r="C258" s="246"/>
      <c r="D258" s="246"/>
      <c r="E258" s="244"/>
      <c r="F258" s="244"/>
      <c r="G258" s="244"/>
      <c r="H258" s="244"/>
      <c r="I258" s="245"/>
      <c r="J258" s="244"/>
    </row>
    <row r="259" spans="1:10" ht="17.399999999999999" x14ac:dyDescent="0.25">
      <c r="A259" s="246"/>
      <c r="B259" s="246"/>
      <c r="C259" s="246"/>
      <c r="D259" s="246"/>
      <c r="E259" s="244"/>
      <c r="F259" s="244"/>
      <c r="G259" s="244"/>
      <c r="H259" s="244"/>
      <c r="I259" s="245"/>
      <c r="J259" s="244"/>
    </row>
    <row r="260" spans="1:10" ht="17.399999999999999" x14ac:dyDescent="0.25">
      <c r="A260" s="246"/>
      <c r="B260" s="246"/>
      <c r="C260" s="246"/>
      <c r="D260" s="246"/>
      <c r="E260" s="244"/>
      <c r="F260" s="244"/>
      <c r="G260" s="244"/>
      <c r="H260" s="244"/>
      <c r="I260" s="245"/>
      <c r="J260" s="244"/>
    </row>
    <row r="261" spans="1:10" ht="17.399999999999999" x14ac:dyDescent="0.25">
      <c r="A261" s="246"/>
      <c r="B261" s="246"/>
      <c r="C261" s="246"/>
      <c r="D261" s="246"/>
      <c r="E261" s="244"/>
      <c r="F261" s="244"/>
      <c r="G261" s="244"/>
      <c r="H261" s="244"/>
      <c r="I261" s="245"/>
      <c r="J261" s="244"/>
    </row>
    <row r="262" spans="1:10" ht="17.399999999999999" x14ac:dyDescent="0.25">
      <c r="A262" s="246"/>
      <c r="B262" s="246"/>
      <c r="C262" s="246"/>
      <c r="D262" s="246"/>
      <c r="E262" s="244"/>
      <c r="F262" s="244"/>
      <c r="G262" s="244"/>
      <c r="H262" s="244"/>
      <c r="I262" s="245"/>
      <c r="J262" s="244"/>
    </row>
    <row r="263" spans="1:10" ht="17.399999999999999" x14ac:dyDescent="0.25">
      <c r="A263" s="246"/>
      <c r="B263" s="246"/>
      <c r="C263" s="246"/>
      <c r="D263" s="246"/>
      <c r="E263" s="244"/>
      <c r="F263" s="244"/>
      <c r="G263" s="244"/>
      <c r="H263" s="244"/>
      <c r="I263" s="245"/>
      <c r="J263" s="244"/>
    </row>
    <row r="264" spans="1:10" ht="17.399999999999999" x14ac:dyDescent="0.25">
      <c r="A264" s="246"/>
      <c r="B264" s="246"/>
      <c r="C264" s="246"/>
      <c r="D264" s="246"/>
      <c r="E264" s="244"/>
      <c r="F264" s="244"/>
      <c r="G264" s="244"/>
      <c r="H264" s="244"/>
      <c r="I264" s="245"/>
      <c r="J264" s="244"/>
    </row>
    <row r="265" spans="1:10" ht="17.399999999999999" x14ac:dyDescent="0.25">
      <c r="A265" s="246"/>
      <c r="B265" s="246"/>
      <c r="C265" s="246"/>
      <c r="D265" s="246"/>
      <c r="E265" s="244"/>
      <c r="F265" s="244"/>
      <c r="G265" s="244"/>
      <c r="H265" s="244"/>
      <c r="I265" s="245"/>
      <c r="J265" s="244"/>
    </row>
    <row r="266" spans="1:10" ht="17.399999999999999" x14ac:dyDescent="0.25">
      <c r="A266" s="246"/>
      <c r="B266" s="246"/>
      <c r="C266" s="246"/>
      <c r="D266" s="246"/>
      <c r="E266" s="244"/>
      <c r="F266" s="244"/>
      <c r="G266" s="244"/>
      <c r="H266" s="244"/>
      <c r="I266" s="245"/>
      <c r="J266" s="244"/>
    </row>
    <row r="267" spans="1:10" ht="17.399999999999999" x14ac:dyDescent="0.25">
      <c r="A267" s="246"/>
      <c r="B267" s="246"/>
      <c r="C267" s="246"/>
      <c r="D267" s="246"/>
      <c r="E267" s="244"/>
      <c r="F267" s="244"/>
      <c r="G267" s="244"/>
      <c r="H267" s="244"/>
      <c r="I267" s="245"/>
      <c r="J267" s="244"/>
    </row>
    <row r="268" spans="1:10" ht="17.399999999999999" x14ac:dyDescent="0.25">
      <c r="A268" s="246"/>
      <c r="B268" s="246"/>
      <c r="C268" s="246"/>
      <c r="D268" s="246"/>
      <c r="E268" s="244"/>
      <c r="F268" s="244"/>
      <c r="G268" s="244"/>
      <c r="H268" s="244"/>
      <c r="I268" s="245"/>
      <c r="J268" s="244"/>
    </row>
    <row r="269" spans="1:10" ht="17.399999999999999" x14ac:dyDescent="0.25">
      <c r="A269" s="246"/>
      <c r="B269" s="246"/>
      <c r="C269" s="246"/>
      <c r="D269" s="246"/>
      <c r="E269" s="244"/>
      <c r="F269" s="244"/>
      <c r="G269" s="244"/>
      <c r="H269" s="244"/>
      <c r="I269" s="245"/>
      <c r="J269" s="244"/>
    </row>
    <row r="270" spans="1:10" ht="17.399999999999999" x14ac:dyDescent="0.25">
      <c r="A270" s="246"/>
      <c r="B270" s="246"/>
      <c r="C270" s="246"/>
      <c r="D270" s="246"/>
      <c r="E270" s="244"/>
      <c r="F270" s="244"/>
      <c r="G270" s="244"/>
      <c r="H270" s="244"/>
      <c r="I270" s="245"/>
      <c r="J270" s="244"/>
    </row>
    <row r="271" spans="1:10" ht="17.399999999999999" x14ac:dyDescent="0.25">
      <c r="A271" s="246"/>
      <c r="B271" s="246"/>
      <c r="C271" s="246"/>
      <c r="D271" s="246"/>
      <c r="E271" s="244"/>
      <c r="F271" s="244"/>
      <c r="G271" s="244"/>
      <c r="H271" s="244"/>
      <c r="I271" s="245"/>
      <c r="J271" s="244"/>
    </row>
    <row r="272" spans="1:10" ht="17.399999999999999" x14ac:dyDescent="0.25">
      <c r="A272" s="246"/>
      <c r="B272" s="246"/>
      <c r="C272" s="246"/>
      <c r="D272" s="246"/>
      <c r="E272" s="244"/>
      <c r="F272" s="244"/>
      <c r="G272" s="244"/>
      <c r="H272" s="244"/>
      <c r="I272" s="245"/>
      <c r="J272" s="244"/>
    </row>
    <row r="273" spans="1:10" ht="17.399999999999999" x14ac:dyDescent="0.25">
      <c r="A273" s="246"/>
      <c r="B273" s="246"/>
      <c r="C273" s="246"/>
      <c r="D273" s="246"/>
      <c r="E273" s="244"/>
      <c r="F273" s="244"/>
      <c r="G273" s="244"/>
      <c r="H273" s="244"/>
      <c r="I273" s="245"/>
      <c r="J273" s="244"/>
    </row>
    <row r="274" spans="1:10" ht="17.399999999999999" x14ac:dyDescent="0.25">
      <c r="A274" s="246"/>
      <c r="B274" s="246"/>
      <c r="C274" s="246"/>
      <c r="D274" s="246"/>
      <c r="E274" s="244"/>
      <c r="F274" s="244"/>
      <c r="G274" s="244"/>
      <c r="H274" s="244"/>
      <c r="I274" s="245"/>
      <c r="J274" s="244"/>
    </row>
    <row r="275" spans="1:10" ht="17.399999999999999" x14ac:dyDescent="0.25">
      <c r="A275" s="246"/>
      <c r="B275" s="246"/>
      <c r="C275" s="246"/>
      <c r="D275" s="246"/>
      <c r="E275" s="244"/>
      <c r="F275" s="244"/>
      <c r="G275" s="244"/>
      <c r="H275" s="244"/>
      <c r="I275" s="245"/>
      <c r="J275" s="244"/>
    </row>
    <row r="276" spans="1:10" ht="17.399999999999999" x14ac:dyDescent="0.25">
      <c r="A276" s="246"/>
      <c r="B276" s="246"/>
      <c r="C276" s="246"/>
      <c r="D276" s="246"/>
      <c r="E276" s="244"/>
      <c r="F276" s="244"/>
      <c r="G276" s="244"/>
      <c r="H276" s="244"/>
      <c r="I276" s="245"/>
      <c r="J276" s="244"/>
    </row>
    <row r="277" spans="1:10" ht="17.399999999999999" x14ac:dyDescent="0.25">
      <c r="A277" s="246"/>
      <c r="B277" s="246"/>
      <c r="C277" s="246"/>
      <c r="D277" s="246"/>
      <c r="E277" s="244"/>
      <c r="F277" s="244"/>
      <c r="G277" s="244"/>
      <c r="H277" s="244"/>
      <c r="I277" s="245"/>
      <c r="J277" s="244"/>
    </row>
    <row r="278" spans="1:10" ht="17.399999999999999" x14ac:dyDescent="0.25">
      <c r="A278" s="246"/>
      <c r="B278" s="246"/>
      <c r="C278" s="246"/>
      <c r="D278" s="246"/>
      <c r="E278" s="244"/>
      <c r="F278" s="244"/>
      <c r="G278" s="244"/>
      <c r="H278" s="244"/>
      <c r="I278" s="245"/>
      <c r="J278" s="244"/>
    </row>
    <row r="279" spans="1:10" ht="17.399999999999999" x14ac:dyDescent="0.25">
      <c r="A279" s="246"/>
      <c r="B279" s="246"/>
      <c r="C279" s="246"/>
      <c r="D279" s="246"/>
      <c r="E279" s="244"/>
      <c r="F279" s="244"/>
      <c r="G279" s="244"/>
      <c r="H279" s="244"/>
      <c r="I279" s="245"/>
      <c r="J279" s="244"/>
    </row>
    <row r="280" spans="1:10" ht="17.399999999999999" x14ac:dyDescent="0.25">
      <c r="A280" s="246"/>
      <c r="B280" s="246"/>
      <c r="C280" s="246"/>
      <c r="D280" s="246"/>
      <c r="E280" s="244"/>
      <c r="F280" s="244"/>
      <c r="G280" s="244"/>
      <c r="H280" s="244"/>
      <c r="I280" s="245"/>
      <c r="J280" s="244"/>
    </row>
    <row r="281" spans="1:10" ht="17.399999999999999" x14ac:dyDescent="0.25">
      <c r="A281" s="246"/>
      <c r="B281" s="246"/>
      <c r="C281" s="246"/>
      <c r="D281" s="246"/>
      <c r="E281" s="244"/>
      <c r="F281" s="244"/>
      <c r="G281" s="244"/>
      <c r="H281" s="244"/>
      <c r="I281" s="245"/>
      <c r="J281" s="244"/>
    </row>
    <row r="282" spans="1:10" ht="17.399999999999999" x14ac:dyDescent="0.25">
      <c r="A282" s="246"/>
      <c r="B282" s="246"/>
      <c r="C282" s="246"/>
      <c r="D282" s="246"/>
      <c r="E282" s="244"/>
      <c r="F282" s="244"/>
      <c r="G282" s="244"/>
      <c r="H282" s="244"/>
      <c r="I282" s="245"/>
      <c r="J282" s="244"/>
    </row>
    <row r="283" spans="1:10" ht="17.399999999999999" x14ac:dyDescent="0.25">
      <c r="A283" s="246"/>
      <c r="B283" s="246"/>
      <c r="C283" s="246"/>
      <c r="D283" s="246"/>
      <c r="E283" s="244"/>
      <c r="F283" s="244"/>
      <c r="G283" s="244"/>
      <c r="H283" s="244"/>
      <c r="I283" s="245"/>
      <c r="J283" s="244"/>
    </row>
    <row r="284" spans="1:10" ht="17.399999999999999" x14ac:dyDescent="0.25">
      <c r="A284" s="246"/>
      <c r="B284" s="246"/>
      <c r="C284" s="246"/>
      <c r="D284" s="246"/>
      <c r="E284" s="244"/>
      <c r="F284" s="244"/>
      <c r="G284" s="244"/>
      <c r="H284" s="244"/>
      <c r="I284" s="245"/>
      <c r="J284" s="244"/>
    </row>
    <row r="285" spans="1:10" ht="17.399999999999999" x14ac:dyDescent="0.25">
      <c r="A285" s="246"/>
      <c r="B285" s="246"/>
      <c r="C285" s="246"/>
      <c r="D285" s="246"/>
      <c r="E285" s="244"/>
      <c r="F285" s="244"/>
      <c r="G285" s="244"/>
      <c r="H285" s="244"/>
      <c r="I285" s="245"/>
      <c r="J285" s="244"/>
    </row>
    <row r="286" spans="1:10" ht="17.399999999999999" x14ac:dyDescent="0.25">
      <c r="A286" s="246"/>
      <c r="B286" s="246"/>
      <c r="C286" s="246"/>
      <c r="D286" s="246"/>
      <c r="E286" s="244"/>
      <c r="F286" s="244"/>
      <c r="G286" s="244"/>
      <c r="H286" s="244"/>
      <c r="I286" s="245"/>
      <c r="J286" s="244"/>
    </row>
    <row r="287" spans="1:10" x14ac:dyDescent="0.25">
      <c r="H287" s="152"/>
    </row>
    <row r="288" spans="1:10" x14ac:dyDescent="0.25">
      <c r="H288" s="152"/>
    </row>
    <row r="289" s="152" customFormat="1" x14ac:dyDescent="0.25"/>
    <row r="290" s="152" customFormat="1" x14ac:dyDescent="0.25"/>
    <row r="291" s="152" customFormat="1" x14ac:dyDescent="0.25"/>
    <row r="292" s="152" customFormat="1" x14ac:dyDescent="0.25"/>
    <row r="293" s="152" customFormat="1" x14ac:dyDescent="0.25"/>
    <row r="294" s="152" customFormat="1" x14ac:dyDescent="0.25"/>
    <row r="295" s="152" customFormat="1" x14ac:dyDescent="0.25"/>
    <row r="296" s="152" customFormat="1" x14ac:dyDescent="0.25"/>
    <row r="297" s="152" customFormat="1" x14ac:dyDescent="0.25"/>
    <row r="298" s="152" customFormat="1" x14ac:dyDescent="0.25"/>
    <row r="299" s="152" customFormat="1" x14ac:dyDescent="0.25"/>
    <row r="300" s="152" customFormat="1" x14ac:dyDescent="0.25"/>
    <row r="301" s="152" customFormat="1" x14ac:dyDescent="0.25"/>
    <row r="302" s="152" customFormat="1" x14ac:dyDescent="0.25"/>
    <row r="303" s="152" customFormat="1" x14ac:dyDescent="0.25"/>
    <row r="304" s="152" customFormat="1" x14ac:dyDescent="0.25"/>
    <row r="305" s="152" customFormat="1" x14ac:dyDescent="0.25"/>
    <row r="306" s="152" customFormat="1" x14ac:dyDescent="0.25"/>
    <row r="307" s="152" customFormat="1" x14ac:dyDescent="0.25"/>
    <row r="308" s="152" customFormat="1" x14ac:dyDescent="0.25"/>
    <row r="309" s="152" customFormat="1" x14ac:dyDescent="0.25"/>
    <row r="310" s="152" customFormat="1" x14ac:dyDescent="0.25"/>
    <row r="311" s="152" customFormat="1" x14ac:dyDescent="0.25"/>
    <row r="312" s="152" customFormat="1" x14ac:dyDescent="0.25"/>
    <row r="313" s="152" customFormat="1" x14ac:dyDescent="0.25"/>
    <row r="314" s="152" customFormat="1" x14ac:dyDescent="0.25"/>
    <row r="315" s="152" customFormat="1" x14ac:dyDescent="0.25"/>
    <row r="317" s="152" customFormat="1" x14ac:dyDescent="0.25"/>
    <row r="318" s="152" customFormat="1" x14ac:dyDescent="0.25"/>
    <row r="319" s="152" customFormat="1" x14ac:dyDescent="0.25"/>
    <row r="320" s="152" customFormat="1" x14ac:dyDescent="0.25"/>
    <row r="321" s="152" customFormat="1" x14ac:dyDescent="0.25"/>
    <row r="322" s="152" customFormat="1" x14ac:dyDescent="0.25"/>
    <row r="323" s="152" customFormat="1" x14ac:dyDescent="0.25"/>
    <row r="324" s="152" customFormat="1" x14ac:dyDescent="0.25"/>
    <row r="325" s="152" customFormat="1" x14ac:dyDescent="0.25"/>
    <row r="326" s="152" customFormat="1" x14ac:dyDescent="0.25"/>
    <row r="327" s="152" customFormat="1" x14ac:dyDescent="0.25"/>
    <row r="328" s="152" customFormat="1" x14ac:dyDescent="0.25"/>
    <row r="329" s="152" customFormat="1" x14ac:dyDescent="0.25"/>
    <row r="330" s="152" customFormat="1" x14ac:dyDescent="0.25"/>
    <row r="331" s="152" customFormat="1" x14ac:dyDescent="0.25"/>
    <row r="332" s="152" customFormat="1" x14ac:dyDescent="0.25"/>
    <row r="333" s="152" customFormat="1" x14ac:dyDescent="0.25"/>
    <row r="334" s="152" customFormat="1" x14ac:dyDescent="0.25"/>
    <row r="335" s="152" customFormat="1" x14ac:dyDescent="0.25"/>
    <row r="336" s="152" customFormat="1" x14ac:dyDescent="0.25"/>
    <row r="337" s="152" customFormat="1" x14ac:dyDescent="0.25"/>
    <row r="338" s="152" customFormat="1" x14ac:dyDescent="0.25"/>
    <row r="339" s="152" customFormat="1" x14ac:dyDescent="0.25"/>
    <row r="340" s="152" customFormat="1" x14ac:dyDescent="0.25"/>
    <row r="341" s="152" customFormat="1" x14ac:dyDescent="0.25"/>
    <row r="342" s="152" customFormat="1" x14ac:dyDescent="0.25"/>
    <row r="343" s="152" customFormat="1" x14ac:dyDescent="0.25"/>
    <row r="344" s="152" customFormat="1" x14ac:dyDescent="0.25"/>
    <row r="345" s="152" customFormat="1" x14ac:dyDescent="0.25"/>
    <row r="346" s="152" customFormat="1" x14ac:dyDescent="0.25"/>
    <row r="347" s="152" customFormat="1" x14ac:dyDescent="0.25"/>
    <row r="348" s="152" customFormat="1" x14ac:dyDescent="0.25"/>
    <row r="349" s="152" customFormat="1" x14ac:dyDescent="0.25"/>
    <row r="350" s="152" customFormat="1" x14ac:dyDescent="0.25"/>
    <row r="351" s="152" customFormat="1" x14ac:dyDescent="0.25"/>
    <row r="352" s="152" customFormat="1" x14ac:dyDescent="0.25"/>
    <row r="353" s="152" customFormat="1" x14ac:dyDescent="0.25"/>
    <row r="354" s="152" customFormat="1" x14ac:dyDescent="0.25"/>
    <row r="355" s="152" customFormat="1" x14ac:dyDescent="0.25"/>
    <row r="356" s="152" customFormat="1" x14ac:dyDescent="0.25"/>
    <row r="357" s="152" customFormat="1" x14ac:dyDescent="0.25"/>
    <row r="358" s="152" customFormat="1" x14ac:dyDescent="0.25"/>
    <row r="359" s="152" customFormat="1" x14ac:dyDescent="0.25"/>
    <row r="360" s="152" customFormat="1" x14ac:dyDescent="0.25"/>
    <row r="361" s="152" customFormat="1" x14ac:dyDescent="0.25"/>
    <row r="362" s="152" customFormat="1" x14ac:dyDescent="0.25"/>
    <row r="363" s="152" customFormat="1" x14ac:dyDescent="0.25"/>
    <row r="364" s="152" customFormat="1" x14ac:dyDescent="0.25"/>
    <row r="365" s="152" customFormat="1" x14ac:dyDescent="0.25"/>
    <row r="366" s="152" customFormat="1" x14ac:dyDescent="0.25"/>
    <row r="367" s="152" customFormat="1" x14ac:dyDescent="0.25"/>
    <row r="368" s="152" customFormat="1" x14ac:dyDescent="0.25"/>
    <row r="369" s="152" customFormat="1" x14ac:dyDescent="0.25"/>
    <row r="370" s="152" customFormat="1" x14ac:dyDescent="0.25"/>
    <row r="371" s="152" customFormat="1" x14ac:dyDescent="0.25"/>
    <row r="372" s="152" customFormat="1" x14ac:dyDescent="0.25"/>
    <row r="373" s="152" customFormat="1" x14ac:dyDescent="0.25"/>
    <row r="374" s="152" customFormat="1" x14ac:dyDescent="0.25"/>
    <row r="375" s="152" customFormat="1" x14ac:dyDescent="0.25"/>
    <row r="376" s="152" customFormat="1" x14ac:dyDescent="0.25"/>
    <row r="377" s="152" customFormat="1" x14ac:dyDescent="0.25"/>
    <row r="378" s="152" customFormat="1" x14ac:dyDescent="0.25"/>
    <row r="379" s="152" customFormat="1" x14ac:dyDescent="0.25"/>
    <row r="380" s="152" customFormat="1" x14ac:dyDescent="0.25"/>
    <row r="381" s="152" customFormat="1" x14ac:dyDescent="0.25"/>
    <row r="382" s="152" customFormat="1" x14ac:dyDescent="0.25"/>
    <row r="383" s="152" customFormat="1" x14ac:dyDescent="0.25"/>
    <row r="384" s="152" customFormat="1" x14ac:dyDescent="0.25"/>
    <row r="385" s="152" customFormat="1" x14ac:dyDescent="0.25"/>
    <row r="386" s="152" customFormat="1" x14ac:dyDescent="0.25"/>
    <row r="387" s="152" customFormat="1" x14ac:dyDescent="0.25"/>
    <row r="388" s="152" customFormat="1" x14ac:dyDescent="0.25"/>
    <row r="389" s="152" customFormat="1" x14ac:dyDescent="0.25"/>
    <row r="390" s="152" customFormat="1" x14ac:dyDescent="0.25"/>
    <row r="391" s="152" customFormat="1" x14ac:dyDescent="0.25"/>
    <row r="392" s="152" customFormat="1" x14ac:dyDescent="0.25"/>
    <row r="393" s="152" customFormat="1" x14ac:dyDescent="0.25"/>
    <row r="394" s="152" customFormat="1" x14ac:dyDescent="0.25"/>
    <row r="395" s="152" customFormat="1" x14ac:dyDescent="0.25"/>
    <row r="396" s="152" customFormat="1" x14ac:dyDescent="0.25"/>
    <row r="397" s="152" customFormat="1" x14ac:dyDescent="0.25"/>
    <row r="398" s="152" customFormat="1" x14ac:dyDescent="0.25"/>
    <row r="399" s="152" customFormat="1" x14ac:dyDescent="0.25"/>
    <row r="400" s="152" customFormat="1" x14ac:dyDescent="0.25"/>
    <row r="401" s="152" customFormat="1" x14ac:dyDescent="0.25"/>
    <row r="402" s="152" customFormat="1" x14ac:dyDescent="0.25"/>
    <row r="403" s="152" customFormat="1" x14ac:dyDescent="0.25"/>
    <row r="404" s="152" customFormat="1" x14ac:dyDescent="0.25"/>
    <row r="405" s="152" customFormat="1" x14ac:dyDescent="0.25"/>
    <row r="406" s="152" customFormat="1" x14ac:dyDescent="0.25"/>
    <row r="407" s="152" customFormat="1" x14ac:dyDescent="0.25"/>
    <row r="408" s="152" customFormat="1" x14ac:dyDescent="0.25"/>
    <row r="409" s="152" customFormat="1" x14ac:dyDescent="0.25"/>
    <row r="410" s="152" customFormat="1" x14ac:dyDescent="0.25"/>
    <row r="411" s="152" customFormat="1" x14ac:dyDescent="0.25"/>
    <row r="412" s="152" customFormat="1" x14ac:dyDescent="0.25"/>
    <row r="413" s="152" customFormat="1" x14ac:dyDescent="0.25"/>
    <row r="414" s="152" customFormat="1" x14ac:dyDescent="0.25"/>
    <row r="415" s="152" customFormat="1" x14ac:dyDescent="0.25"/>
    <row r="416" s="152" customFormat="1" x14ac:dyDescent="0.25"/>
    <row r="417" s="152" customFormat="1" x14ac:dyDescent="0.25"/>
    <row r="418" s="152" customFormat="1" x14ac:dyDescent="0.25"/>
    <row r="419" s="152" customFormat="1" x14ac:dyDescent="0.25"/>
    <row r="420" s="152" customFormat="1" x14ac:dyDescent="0.25"/>
    <row r="421" s="152" customFormat="1" x14ac:dyDescent="0.25"/>
    <row r="422" s="152" customFormat="1" x14ac:dyDescent="0.25"/>
    <row r="423" s="152" customFormat="1" x14ac:dyDescent="0.25"/>
    <row r="424" s="152" customFormat="1" x14ac:dyDescent="0.25"/>
    <row r="425" s="152" customFormat="1" x14ac:dyDescent="0.25"/>
    <row r="426" s="152" customFormat="1" x14ac:dyDescent="0.25"/>
    <row r="427" s="152" customFormat="1" x14ac:dyDescent="0.25"/>
    <row r="428" s="152" customFormat="1" x14ac:dyDescent="0.25"/>
    <row r="429" s="152" customFormat="1" x14ac:dyDescent="0.25"/>
    <row r="430" s="152" customFormat="1" x14ac:dyDescent="0.25"/>
    <row r="431" s="152" customFormat="1" x14ac:dyDescent="0.25"/>
    <row r="432" s="152" customFormat="1" x14ac:dyDescent="0.25"/>
    <row r="433" s="152" customFormat="1" x14ac:dyDescent="0.25"/>
    <row r="434" s="152" customFormat="1" x14ac:dyDescent="0.25"/>
    <row r="435" s="152" customFormat="1" x14ac:dyDescent="0.25"/>
    <row r="436" s="152" customFormat="1" x14ac:dyDescent="0.25"/>
    <row r="437" s="152" customFormat="1" x14ac:dyDescent="0.25"/>
    <row r="438" s="152" customFormat="1" x14ac:dyDescent="0.25"/>
    <row r="439" s="152" customFormat="1" x14ac:dyDescent="0.25"/>
    <row r="440" s="152" customFormat="1" x14ac:dyDescent="0.25"/>
    <row r="442" s="152" customFormat="1" x14ac:dyDescent="0.25"/>
    <row r="443" s="152" customFormat="1" x14ac:dyDescent="0.25"/>
    <row r="444" s="152" customFormat="1" x14ac:dyDescent="0.25"/>
    <row r="445" s="152" customFormat="1" x14ac:dyDescent="0.25"/>
    <row r="446" s="152" customFormat="1" x14ac:dyDescent="0.25"/>
    <row r="447" s="152" customFormat="1" x14ac:dyDescent="0.25"/>
    <row r="448" s="152" customFormat="1" x14ac:dyDescent="0.25"/>
    <row r="449" s="152" customFormat="1" x14ac:dyDescent="0.25"/>
    <row r="450" s="152" customFormat="1" x14ac:dyDescent="0.25"/>
    <row r="451" s="152" customFormat="1" x14ac:dyDescent="0.25"/>
    <row r="452" s="152" customFormat="1" x14ac:dyDescent="0.25"/>
    <row r="453" s="152" customFormat="1" x14ac:dyDescent="0.25"/>
    <row r="454" s="152" customFormat="1" x14ac:dyDescent="0.25"/>
    <row r="455" s="152" customFormat="1" x14ac:dyDescent="0.25"/>
    <row r="456" s="152" customFormat="1" x14ac:dyDescent="0.25"/>
    <row r="457" s="152" customFormat="1" x14ac:dyDescent="0.25"/>
    <row r="458" s="152" customFormat="1" x14ac:dyDescent="0.25"/>
    <row r="459" s="152" customFormat="1" x14ac:dyDescent="0.25"/>
    <row r="460" s="152" customFormat="1" x14ac:dyDescent="0.25"/>
    <row r="461" s="152" customFormat="1" x14ac:dyDescent="0.25"/>
    <row r="462" s="152" customFormat="1" x14ac:dyDescent="0.25"/>
    <row r="463" s="152" customFormat="1" x14ac:dyDescent="0.25"/>
    <row r="464" s="152" customFormat="1" x14ac:dyDescent="0.25"/>
    <row r="466" s="152" customFormat="1" x14ac:dyDescent="0.25"/>
    <row r="467" s="152" customFormat="1" x14ac:dyDescent="0.25"/>
    <row r="468" s="152" customFormat="1" x14ac:dyDescent="0.25"/>
    <row r="469" s="152" customFormat="1" x14ac:dyDescent="0.25"/>
    <row r="470" s="152" customFormat="1" x14ac:dyDescent="0.25"/>
    <row r="471" s="152" customFormat="1" x14ac:dyDescent="0.25"/>
    <row r="472" s="152" customFormat="1" x14ac:dyDescent="0.25"/>
    <row r="473" s="152" customFormat="1" x14ac:dyDescent="0.25"/>
    <row r="474" s="152" customFormat="1" x14ac:dyDescent="0.25"/>
    <row r="475" s="152" customFormat="1" x14ac:dyDescent="0.25"/>
    <row r="476" s="152" customFormat="1" x14ac:dyDescent="0.25"/>
    <row r="477" s="152" customFormat="1" x14ac:dyDescent="0.25"/>
    <row r="478" s="152" customFormat="1" x14ac:dyDescent="0.25"/>
    <row r="479" s="152" customFormat="1" x14ac:dyDescent="0.25"/>
    <row r="480" s="152" customFormat="1" x14ac:dyDescent="0.25"/>
    <row r="481" s="152" customFormat="1" x14ac:dyDescent="0.25"/>
    <row r="482" s="152" customFormat="1" x14ac:dyDescent="0.25"/>
    <row r="483" s="152" customFormat="1" x14ac:dyDescent="0.25"/>
    <row r="484" s="152" customFormat="1" x14ac:dyDescent="0.25"/>
    <row r="485" s="152" customFormat="1" x14ac:dyDescent="0.25"/>
    <row r="486" s="152" customFormat="1" x14ac:dyDescent="0.25"/>
    <row r="487" s="152" customFormat="1" x14ac:dyDescent="0.25"/>
    <row r="488" s="152" customFormat="1" x14ac:dyDescent="0.25"/>
    <row r="489" s="152" customFormat="1" x14ac:dyDescent="0.25"/>
    <row r="490" s="152" customFormat="1" x14ac:dyDescent="0.25"/>
    <row r="491" s="152" customFormat="1" x14ac:dyDescent="0.25"/>
    <row r="492" s="152" customFormat="1" x14ac:dyDescent="0.25"/>
    <row r="493" s="152" customFormat="1" x14ac:dyDescent="0.25"/>
    <row r="494" s="152" customFormat="1" x14ac:dyDescent="0.25"/>
    <row r="495" s="152" customFormat="1" x14ac:dyDescent="0.25"/>
    <row r="496" s="152" customFormat="1" x14ac:dyDescent="0.25"/>
    <row r="497" s="152" customFormat="1" x14ac:dyDescent="0.25"/>
    <row r="498" s="152" customFormat="1" x14ac:dyDescent="0.25"/>
    <row r="499" s="152" customFormat="1" x14ac:dyDescent="0.25"/>
    <row r="501" s="152" customFormat="1" x14ac:dyDescent="0.25"/>
    <row r="502" s="152" customFormat="1" x14ac:dyDescent="0.25"/>
    <row r="503" s="152" customFormat="1" x14ac:dyDescent="0.25"/>
    <row r="504" s="152" customFormat="1" x14ac:dyDescent="0.25"/>
    <row r="505" s="152" customFormat="1" x14ac:dyDescent="0.25"/>
    <row r="506" s="152" customFormat="1" x14ac:dyDescent="0.25"/>
    <row r="507" s="152" customFormat="1" x14ac:dyDescent="0.25"/>
    <row r="508" s="152" customFormat="1" x14ac:dyDescent="0.25"/>
    <row r="509" s="152" customFormat="1" x14ac:dyDescent="0.25"/>
    <row r="510" s="152" customFormat="1" x14ac:dyDescent="0.25"/>
    <row r="511" s="152" customFormat="1" x14ac:dyDescent="0.25"/>
    <row r="512" s="152" customFormat="1" x14ac:dyDescent="0.25"/>
    <row r="513" s="152" customFormat="1" x14ac:dyDescent="0.25"/>
    <row r="514" s="152" customFormat="1" x14ac:dyDescent="0.25"/>
    <row r="515" s="152" customFormat="1" x14ac:dyDescent="0.25"/>
    <row r="516" s="152" customFormat="1" x14ac:dyDescent="0.25"/>
    <row r="517" s="152" customFormat="1" x14ac:dyDescent="0.25"/>
    <row r="518" s="152" customFormat="1" x14ac:dyDescent="0.25"/>
    <row r="519" s="152" customFormat="1" x14ac:dyDescent="0.25"/>
    <row r="520" s="152" customFormat="1" x14ac:dyDescent="0.25"/>
    <row r="522" s="152" customFormat="1" x14ac:dyDescent="0.25"/>
    <row r="523" s="152" customFormat="1" x14ac:dyDescent="0.25"/>
    <row r="524" s="152" customFormat="1" x14ac:dyDescent="0.25"/>
    <row r="525" s="152" customFormat="1" x14ac:dyDescent="0.25"/>
    <row r="526" s="152" customFormat="1" x14ac:dyDescent="0.25"/>
    <row r="527" s="152" customFormat="1" x14ac:dyDescent="0.25"/>
    <row r="528" s="152" customFormat="1" x14ac:dyDescent="0.25"/>
    <row r="529" s="152" customFormat="1" x14ac:dyDescent="0.25"/>
    <row r="530" s="152" customFormat="1" x14ac:dyDescent="0.25"/>
    <row r="531" s="152" customFormat="1" x14ac:dyDescent="0.25"/>
    <row r="532" s="152" customFormat="1" x14ac:dyDescent="0.25"/>
    <row r="533" s="152" customFormat="1" x14ac:dyDescent="0.25"/>
    <row r="534" s="152" customFormat="1" x14ac:dyDescent="0.25"/>
    <row r="535" s="152" customFormat="1" x14ac:dyDescent="0.25"/>
    <row r="536" s="152" customFormat="1" x14ac:dyDescent="0.25"/>
    <row r="537" s="152" customFormat="1" x14ac:dyDescent="0.25"/>
    <row r="538" s="152" customFormat="1" x14ac:dyDescent="0.25"/>
    <row r="539" s="152" customFormat="1" x14ac:dyDescent="0.25"/>
    <row r="540" s="152" customFormat="1" x14ac:dyDescent="0.25"/>
    <row r="541" s="152" customFormat="1" x14ac:dyDescent="0.25"/>
    <row r="542" s="152" customFormat="1" x14ac:dyDescent="0.25"/>
    <row r="543" s="152" customFormat="1" x14ac:dyDescent="0.25"/>
    <row r="544" s="152" customFormat="1" x14ac:dyDescent="0.25"/>
    <row r="545" s="152" customFormat="1" x14ac:dyDescent="0.25"/>
    <row r="546" s="152" customFormat="1" x14ac:dyDescent="0.25"/>
    <row r="547" s="152" customFormat="1" x14ac:dyDescent="0.25"/>
    <row r="548" s="152" customFormat="1" x14ac:dyDescent="0.25"/>
    <row r="549" s="152" customFormat="1" x14ac:dyDescent="0.25"/>
    <row r="550" s="152" customFormat="1" x14ac:dyDescent="0.25"/>
    <row r="551" s="152" customFormat="1" x14ac:dyDescent="0.25"/>
    <row r="552" s="152" customFormat="1" x14ac:dyDescent="0.25"/>
    <row r="553" s="152" customFormat="1" x14ac:dyDescent="0.25"/>
    <row r="554" s="152" customFormat="1" x14ac:dyDescent="0.25"/>
    <row r="555" s="152" customFormat="1" x14ac:dyDescent="0.25"/>
    <row r="556" s="152" customFormat="1" x14ac:dyDescent="0.25"/>
    <row r="557" s="152" customFormat="1" x14ac:dyDescent="0.25"/>
    <row r="558" s="152" customFormat="1" x14ac:dyDescent="0.25"/>
    <row r="559" s="152" customFormat="1" x14ac:dyDescent="0.25"/>
    <row r="560" s="152" customFormat="1" x14ac:dyDescent="0.25"/>
    <row r="561" s="152" customFormat="1" x14ac:dyDescent="0.25"/>
    <row r="562" s="152" customFormat="1" x14ac:dyDescent="0.25"/>
    <row r="563" s="152" customFormat="1" x14ac:dyDescent="0.25"/>
    <row r="564" s="152" customFormat="1" x14ac:dyDescent="0.25"/>
    <row r="565" s="152" customFormat="1" x14ac:dyDescent="0.25"/>
    <row r="566" s="152" customFormat="1" x14ac:dyDescent="0.25"/>
    <row r="567" s="152" customFormat="1" x14ac:dyDescent="0.25"/>
    <row r="568" s="152" customFormat="1" x14ac:dyDescent="0.25"/>
    <row r="569" s="152" customFormat="1" x14ac:dyDescent="0.25"/>
    <row r="570" s="152" customFormat="1" x14ac:dyDescent="0.25"/>
    <row r="571" s="152" customFormat="1" x14ac:dyDescent="0.25"/>
    <row r="572" s="152" customFormat="1" x14ac:dyDescent="0.25"/>
    <row r="573" s="152" customFormat="1" x14ac:dyDescent="0.25"/>
    <row r="574" s="152" customFormat="1" x14ac:dyDescent="0.25"/>
    <row r="575" s="152" customFormat="1" x14ac:dyDescent="0.25"/>
    <row r="576" s="152" customFormat="1" x14ac:dyDescent="0.25"/>
    <row r="577" s="152" customFormat="1" x14ac:dyDescent="0.25"/>
    <row r="578" s="152" customFormat="1" x14ac:dyDescent="0.25"/>
    <row r="579" s="152" customFormat="1" x14ac:dyDescent="0.25"/>
    <row r="580" s="152" customFormat="1" x14ac:dyDescent="0.25"/>
    <row r="581" s="152" customFormat="1" x14ac:dyDescent="0.25"/>
    <row r="582" s="152" customFormat="1" x14ac:dyDescent="0.25"/>
    <row r="583" s="152" customFormat="1" x14ac:dyDescent="0.25"/>
    <row r="584" s="152" customFormat="1" x14ac:dyDescent="0.25"/>
    <row r="585" s="152" customFormat="1" x14ac:dyDescent="0.25"/>
    <row r="586" s="152" customFormat="1" x14ac:dyDescent="0.25"/>
    <row r="587" s="152" customFormat="1" x14ac:dyDescent="0.25"/>
    <row r="588" s="152" customFormat="1" x14ac:dyDescent="0.25"/>
    <row r="589" s="152" customFormat="1" x14ac:dyDescent="0.25"/>
    <row r="590" s="152" customFormat="1" x14ac:dyDescent="0.25"/>
    <row r="592" s="152" customFormat="1" x14ac:dyDescent="0.25"/>
    <row r="593" s="152" customFormat="1" x14ac:dyDescent="0.25"/>
    <row r="594" s="152" customFormat="1" x14ac:dyDescent="0.25"/>
    <row r="595" s="152" customFormat="1" x14ac:dyDescent="0.25"/>
    <row r="596" s="152" customFormat="1" x14ac:dyDescent="0.25"/>
    <row r="597" s="152" customFormat="1" x14ac:dyDescent="0.25"/>
    <row r="598" s="152" customFormat="1" x14ac:dyDescent="0.25"/>
    <row r="599" s="152" customFormat="1" x14ac:dyDescent="0.25"/>
    <row r="600" s="152" customFormat="1" x14ac:dyDescent="0.25"/>
    <row r="601" s="152" customFormat="1" x14ac:dyDescent="0.25"/>
    <row r="602" s="152" customFormat="1" x14ac:dyDescent="0.25"/>
    <row r="603" s="152" customFormat="1" x14ac:dyDescent="0.25"/>
    <row r="604" s="152" customFormat="1" x14ac:dyDescent="0.25"/>
    <row r="605" s="152" customFormat="1" x14ac:dyDescent="0.25"/>
    <row r="606" s="152" customFormat="1" x14ac:dyDescent="0.25"/>
    <row r="607" s="152" customFormat="1" x14ac:dyDescent="0.25"/>
    <row r="608" s="152" customFormat="1" x14ac:dyDescent="0.25"/>
    <row r="609" s="152" customFormat="1" x14ac:dyDescent="0.25"/>
    <row r="610" s="152" customFormat="1" x14ac:dyDescent="0.25"/>
    <row r="611" s="152" customFormat="1" x14ac:dyDescent="0.25"/>
    <row r="612" s="152" customFormat="1" x14ac:dyDescent="0.25"/>
    <row r="613" s="152" customFormat="1" x14ac:dyDescent="0.25"/>
    <row r="614" s="152" customFormat="1" x14ac:dyDescent="0.25"/>
    <row r="615" s="152" customFormat="1" x14ac:dyDescent="0.25"/>
    <row r="616" s="152" customFormat="1" x14ac:dyDescent="0.25"/>
    <row r="617" s="152" customFormat="1" x14ac:dyDescent="0.25"/>
    <row r="618" s="152" customFormat="1" x14ac:dyDescent="0.25"/>
    <row r="619" s="152" customFormat="1" x14ac:dyDescent="0.25"/>
    <row r="620" s="152" customFormat="1" x14ac:dyDescent="0.25"/>
    <row r="621" s="152" customFormat="1" x14ac:dyDescent="0.25"/>
    <row r="622" s="152" customFormat="1" x14ac:dyDescent="0.25"/>
    <row r="623" s="152" customFormat="1" x14ac:dyDescent="0.25"/>
    <row r="624" s="152" customFormat="1" x14ac:dyDescent="0.25"/>
    <row r="625" s="152" customFormat="1" x14ac:dyDescent="0.25"/>
    <row r="626" s="152" customFormat="1" x14ac:dyDescent="0.25"/>
    <row r="627" s="152" customFormat="1" x14ac:dyDescent="0.25"/>
    <row r="628" s="152" customFormat="1" x14ac:dyDescent="0.25"/>
    <row r="629" s="152" customFormat="1" x14ac:dyDescent="0.25"/>
    <row r="630" s="152" customFormat="1" x14ac:dyDescent="0.25"/>
    <row r="632" s="152" customFormat="1" x14ac:dyDescent="0.25"/>
    <row r="633" s="152" customFormat="1" x14ac:dyDescent="0.25"/>
    <row r="634" s="152" customFormat="1" x14ac:dyDescent="0.25"/>
    <row r="635" s="152" customFormat="1" x14ac:dyDescent="0.25"/>
    <row r="636" s="152" customFormat="1" x14ac:dyDescent="0.25"/>
    <row r="637" s="152" customFormat="1" x14ac:dyDescent="0.25"/>
    <row r="638" s="152" customFormat="1" x14ac:dyDescent="0.25"/>
    <row r="639" s="152" customFormat="1" x14ac:dyDescent="0.25"/>
    <row r="640" s="152" customFormat="1" x14ac:dyDescent="0.25"/>
    <row r="641" s="152" customFormat="1" x14ac:dyDescent="0.25"/>
    <row r="642" s="152" customFormat="1" x14ac:dyDescent="0.25"/>
    <row r="643" s="152" customFormat="1" x14ac:dyDescent="0.25"/>
    <row r="644" s="152" customFormat="1" x14ac:dyDescent="0.25"/>
    <row r="645" s="152" customFormat="1" x14ac:dyDescent="0.25"/>
    <row r="646" s="152" customFormat="1" x14ac:dyDescent="0.25"/>
    <row r="647" s="152" customFormat="1" x14ac:dyDescent="0.25"/>
    <row r="648" s="152" customFormat="1" x14ac:dyDescent="0.25"/>
    <row r="650" s="152" customFormat="1" x14ac:dyDescent="0.25"/>
    <row r="651" s="152" customFormat="1" x14ac:dyDescent="0.25"/>
    <row r="652" s="152" customFormat="1" x14ac:dyDescent="0.25"/>
    <row r="653" s="152" customFormat="1" x14ac:dyDescent="0.25"/>
    <row r="654" s="152" customFormat="1" x14ac:dyDescent="0.25"/>
    <row r="655" s="152" customFormat="1" x14ac:dyDescent="0.25"/>
    <row r="656" s="152" customFormat="1" x14ac:dyDescent="0.25"/>
    <row r="657" s="152" customFormat="1" x14ac:dyDescent="0.25"/>
    <row r="658" s="152" customFormat="1" x14ac:dyDescent="0.25"/>
    <row r="659" s="152" customFormat="1" x14ac:dyDescent="0.25"/>
    <row r="660" s="152" customFormat="1" x14ac:dyDescent="0.25"/>
    <row r="661" s="152" customFormat="1" x14ac:dyDescent="0.25"/>
    <row r="662" s="152" customFormat="1" x14ac:dyDescent="0.25"/>
    <row r="663" s="152" customFormat="1" x14ac:dyDescent="0.25"/>
    <row r="664" s="152" customFormat="1" x14ac:dyDescent="0.25"/>
    <row r="665" s="152" customFormat="1" x14ac:dyDescent="0.25"/>
    <row r="666" s="152" customFormat="1" x14ac:dyDescent="0.25"/>
    <row r="667" s="152" customFormat="1" x14ac:dyDescent="0.25"/>
    <row r="668" s="152" customFormat="1" x14ac:dyDescent="0.25"/>
    <row r="669" s="152" customFormat="1" x14ac:dyDescent="0.25"/>
    <row r="671" s="152" customFormat="1" x14ac:dyDescent="0.25"/>
    <row r="672" s="152" customFormat="1" x14ac:dyDescent="0.25"/>
    <row r="673" s="152" customFormat="1" x14ac:dyDescent="0.25"/>
    <row r="674" s="152" customFormat="1" x14ac:dyDescent="0.25"/>
    <row r="675" s="152" customFormat="1" x14ac:dyDescent="0.25"/>
    <row r="676" s="152" customFormat="1" x14ac:dyDescent="0.25"/>
    <row r="677" s="152" customFormat="1" x14ac:dyDescent="0.25"/>
    <row r="678" s="152" customFormat="1" x14ac:dyDescent="0.25"/>
    <row r="679" s="152" customFormat="1" x14ac:dyDescent="0.25"/>
    <row r="680" s="152" customFormat="1" x14ac:dyDescent="0.25"/>
    <row r="681" s="152" customFormat="1" x14ac:dyDescent="0.25"/>
    <row r="682" s="152" customFormat="1" x14ac:dyDescent="0.25"/>
    <row r="683" s="152" customFormat="1" x14ac:dyDescent="0.25"/>
    <row r="684" s="152" customFormat="1" x14ac:dyDescent="0.25"/>
    <row r="685" s="152" customFormat="1" x14ac:dyDescent="0.25"/>
    <row r="686" s="152" customFormat="1" x14ac:dyDescent="0.25"/>
    <row r="687" s="152" customFormat="1" x14ac:dyDescent="0.25"/>
    <row r="688" s="152" customFormat="1" x14ac:dyDescent="0.25"/>
    <row r="689" s="152" customFormat="1" x14ac:dyDescent="0.25"/>
    <row r="690" s="152" customFormat="1" x14ac:dyDescent="0.25"/>
    <row r="691" s="152" customFormat="1" x14ac:dyDescent="0.25"/>
    <row r="692" s="152" customFormat="1" x14ac:dyDescent="0.25"/>
    <row r="693" s="152" customFormat="1" x14ac:dyDescent="0.25"/>
    <row r="694" s="152" customFormat="1" x14ac:dyDescent="0.25"/>
    <row r="695" s="152" customFormat="1" x14ac:dyDescent="0.25"/>
    <row r="696" s="152" customFormat="1" x14ac:dyDescent="0.25"/>
    <row r="697" s="152" customFormat="1" x14ac:dyDescent="0.25"/>
    <row r="698" s="152" customFormat="1" x14ac:dyDescent="0.25"/>
    <row r="699" s="152" customFormat="1" x14ac:dyDescent="0.25"/>
    <row r="700" s="152" customFormat="1" x14ac:dyDescent="0.25"/>
    <row r="701" s="152" customFormat="1" x14ac:dyDescent="0.25"/>
    <row r="702" s="152" customFormat="1" x14ac:dyDescent="0.25"/>
    <row r="703" s="152" customFormat="1" x14ac:dyDescent="0.25"/>
    <row r="704" s="152" customFormat="1" x14ac:dyDescent="0.25"/>
    <row r="705" s="152" customFormat="1" x14ac:dyDescent="0.25"/>
    <row r="706" s="152" customFormat="1" x14ac:dyDescent="0.25"/>
    <row r="707" s="152" customFormat="1" x14ac:dyDescent="0.25"/>
    <row r="708" s="152" customFormat="1" x14ac:dyDescent="0.25"/>
    <row r="709" s="152" customFormat="1" x14ac:dyDescent="0.25"/>
    <row r="710" s="152" customFormat="1" x14ac:dyDescent="0.25"/>
    <row r="711" s="152" customFormat="1" x14ac:dyDescent="0.25"/>
    <row r="712" s="152" customFormat="1" x14ac:dyDescent="0.25"/>
    <row r="713" s="152" customFormat="1" x14ac:dyDescent="0.25"/>
    <row r="714" s="152" customFormat="1" x14ac:dyDescent="0.25"/>
    <row r="715" s="152" customFormat="1" x14ac:dyDescent="0.25"/>
    <row r="716" s="152" customFormat="1" x14ac:dyDescent="0.25"/>
    <row r="717" s="152" customFormat="1" x14ac:dyDescent="0.25"/>
    <row r="718" s="152" customFormat="1" x14ac:dyDescent="0.25"/>
    <row r="719" s="152" customFormat="1" x14ac:dyDescent="0.25"/>
    <row r="720" s="152" customFormat="1" x14ac:dyDescent="0.25"/>
    <row r="721" s="152" customFormat="1" x14ac:dyDescent="0.25"/>
    <row r="722" s="152" customFormat="1" x14ac:dyDescent="0.25"/>
    <row r="723" s="152" customFormat="1" x14ac:dyDescent="0.25"/>
    <row r="724" s="152" customFormat="1" x14ac:dyDescent="0.25"/>
    <row r="725" s="152" customFormat="1" x14ac:dyDescent="0.25"/>
    <row r="726" s="152" customFormat="1" x14ac:dyDescent="0.25"/>
    <row r="727" s="152" customFormat="1" x14ac:dyDescent="0.25"/>
    <row r="728" s="152" customFormat="1" x14ac:dyDescent="0.25"/>
    <row r="729" s="152" customFormat="1" x14ac:dyDescent="0.25"/>
    <row r="730" s="152" customFormat="1" x14ac:dyDescent="0.25"/>
    <row r="731" s="152" customFormat="1" x14ac:dyDescent="0.25"/>
    <row r="732" s="152" customFormat="1" x14ac:dyDescent="0.25"/>
    <row r="733" s="152" customFormat="1" x14ac:dyDescent="0.25"/>
    <row r="734" s="152" customFormat="1" x14ac:dyDescent="0.25"/>
    <row r="735" s="152" customFormat="1" x14ac:dyDescent="0.25"/>
    <row r="736" s="152" customFormat="1" x14ac:dyDescent="0.25"/>
    <row r="737" s="152" customFormat="1" x14ac:dyDescent="0.25"/>
    <row r="738" s="152" customFormat="1" x14ac:dyDescent="0.25"/>
    <row r="739" s="152" customFormat="1" x14ac:dyDescent="0.25"/>
    <row r="740" s="152" customFormat="1" x14ac:dyDescent="0.25"/>
    <row r="741" s="152" customFormat="1" x14ac:dyDescent="0.25"/>
    <row r="742" s="152" customFormat="1" x14ac:dyDescent="0.25"/>
    <row r="743" s="152" customFormat="1" x14ac:dyDescent="0.25"/>
    <row r="744" s="152" customFormat="1" x14ac:dyDescent="0.25"/>
    <row r="745" s="152" customFormat="1" x14ac:dyDescent="0.25"/>
    <row r="746" s="152" customFormat="1" x14ac:dyDescent="0.25"/>
    <row r="747" s="152" customFormat="1" x14ac:dyDescent="0.25"/>
    <row r="748" s="152" customFormat="1" x14ac:dyDescent="0.25"/>
    <row r="749" s="152" customFormat="1" x14ac:dyDescent="0.25"/>
    <row r="750" s="152" customFormat="1" x14ac:dyDescent="0.25"/>
    <row r="751" s="152" customFormat="1" x14ac:dyDescent="0.25"/>
    <row r="752" s="152" customFormat="1" x14ac:dyDescent="0.25"/>
    <row r="753" s="152" customFormat="1" x14ac:dyDescent="0.25"/>
    <row r="754" s="152" customFormat="1" x14ac:dyDescent="0.25"/>
    <row r="755" s="152" customFormat="1" x14ac:dyDescent="0.25"/>
    <row r="756" s="152" customFormat="1" x14ac:dyDescent="0.25"/>
    <row r="757" s="152" customFormat="1" x14ac:dyDescent="0.25"/>
    <row r="758" s="152" customFormat="1" x14ac:dyDescent="0.25"/>
    <row r="759" s="152" customFormat="1" x14ac:dyDescent="0.25"/>
    <row r="760" s="152" customFormat="1" x14ac:dyDescent="0.25"/>
    <row r="761" s="152" customFormat="1" x14ac:dyDescent="0.25"/>
    <row r="762" s="152" customFormat="1" x14ac:dyDescent="0.25"/>
    <row r="763" s="152" customFormat="1" x14ac:dyDescent="0.25"/>
    <row r="764" s="152" customFormat="1" x14ac:dyDescent="0.25"/>
    <row r="765" s="152" customFormat="1" x14ac:dyDescent="0.25"/>
    <row r="766" s="152" customFormat="1" x14ac:dyDescent="0.25"/>
    <row r="767" s="152" customFormat="1" x14ac:dyDescent="0.25"/>
    <row r="768" s="152" customFormat="1" x14ac:dyDescent="0.25"/>
    <row r="769" s="152" customFormat="1" x14ac:dyDescent="0.25"/>
    <row r="770" s="152" customFormat="1" x14ac:dyDescent="0.25"/>
    <row r="771" s="152" customFormat="1" x14ac:dyDescent="0.25"/>
    <row r="772" s="152" customFormat="1" x14ac:dyDescent="0.25"/>
    <row r="773" s="152" customFormat="1" x14ac:dyDescent="0.25"/>
    <row r="774" s="152" customFormat="1" x14ac:dyDescent="0.25"/>
    <row r="814" s="152" customFormat="1" x14ac:dyDescent="0.25"/>
    <row r="822" s="152" customFormat="1" x14ac:dyDescent="0.25"/>
    <row r="930" s="152" customFormat="1" x14ac:dyDescent="0.25"/>
    <row r="957" s="152" customFormat="1" x14ac:dyDescent="0.25"/>
    <row r="966" s="152" customFormat="1" x14ac:dyDescent="0.25"/>
    <row r="981" s="152" customFormat="1" x14ac:dyDescent="0.25"/>
    <row r="1011" s="152" customFormat="1" x14ac:dyDescent="0.25"/>
    <row r="1020" s="152" customFormat="1" x14ac:dyDescent="0.25"/>
    <row r="1025" s="152" customFormat="1" x14ac:dyDescent="0.25"/>
    <row r="1051" s="152" customFormat="1" x14ac:dyDescent="0.25"/>
    <row r="1060" s="152" customFormat="1" x14ac:dyDescent="0.25"/>
    <row r="1074" s="152" customFormat="1" x14ac:dyDescent="0.25"/>
    <row r="1079" s="152" customFormat="1" x14ac:dyDescent="0.25"/>
    <row r="1089" s="152" customFormat="1" x14ac:dyDescent="0.25"/>
    <row r="1105" s="152" customFormat="1" x14ac:dyDescent="0.25"/>
    <row r="1140" s="152" customFormat="1" x14ac:dyDescent="0.25"/>
    <row r="1156" s="152" customFormat="1" x14ac:dyDescent="0.25"/>
    <row r="1226" s="152" customFormat="1" x14ac:dyDescent="0.25"/>
    <row r="1325" s="152" customFormat="1" x14ac:dyDescent="0.25"/>
    <row r="1485" s="152" customFormat="1" x14ac:dyDescent="0.25"/>
    <row r="1506" s="152" customFormat="1" x14ac:dyDescent="0.25"/>
    <row r="1507" s="152" customFormat="1" x14ac:dyDescent="0.25"/>
    <row r="1543" s="152" customFormat="1" x14ac:dyDescent="0.25"/>
    <row r="1564" s="152" customFormat="1" x14ac:dyDescent="0.25"/>
    <row r="1590" s="152" customFormat="1" x14ac:dyDescent="0.25"/>
    <row r="1632" s="152" customFormat="1" x14ac:dyDescent="0.25"/>
    <row r="1638" s="152" customFormat="1" x14ac:dyDescent="0.25"/>
    <row r="1651" s="152" customFormat="1" x14ac:dyDescent="0.25"/>
    <row r="1668" s="152" customFormat="1" x14ac:dyDescent="0.25"/>
    <row r="1674" s="152" customFormat="1" x14ac:dyDescent="0.25"/>
    <row r="1711" s="152" customFormat="1" x14ac:dyDescent="0.25"/>
    <row r="1798" s="152" customFormat="1" x14ac:dyDescent="0.25"/>
    <row r="1800" s="152" customFormat="1" x14ac:dyDescent="0.25"/>
    <row r="1822" s="152" customFormat="1" x14ac:dyDescent="0.25"/>
    <row r="1873" s="152" customFormat="1" x14ac:dyDescent="0.25"/>
    <row r="1912" s="152" customFormat="1" x14ac:dyDescent="0.25"/>
    <row r="1940" s="152" customFormat="1" x14ac:dyDescent="0.25"/>
    <row r="1993" s="152" customFormat="1" x14ac:dyDescent="0.25"/>
    <row r="2007" s="152" customFormat="1" x14ac:dyDescent="0.25"/>
    <row r="2088" s="152" customFormat="1" x14ac:dyDescent="0.25"/>
    <row r="2110" s="152" customFormat="1" x14ac:dyDescent="0.25"/>
    <row r="2138" s="152" customFormat="1" x14ac:dyDescent="0.25"/>
    <row r="2159" s="152" customFormat="1" x14ac:dyDescent="0.25"/>
    <row r="2182" s="152" customFormat="1" x14ac:dyDescent="0.25"/>
    <row r="2287" s="152" customFormat="1" x14ac:dyDescent="0.25"/>
    <row r="2345" s="152" customFormat="1" x14ac:dyDescent="0.25"/>
    <row r="2402" s="152" customFormat="1" x14ac:dyDescent="0.25"/>
    <row r="2416" s="152" customFormat="1" x14ac:dyDescent="0.25"/>
    <row r="2519" s="152" customFormat="1" x14ac:dyDescent="0.25"/>
    <row r="2526" s="152" customFormat="1" x14ac:dyDescent="0.25"/>
    <row r="2542" s="152" customFormat="1" x14ac:dyDescent="0.25"/>
    <row r="2603" s="152" customFormat="1" x14ac:dyDescent="0.25"/>
    <row r="2664" s="152" customFormat="1" x14ac:dyDescent="0.25"/>
    <row r="2669" s="152" customFormat="1" x14ac:dyDescent="0.25"/>
    <row r="2688" s="152" customFormat="1" x14ac:dyDescent="0.25"/>
    <row r="2738" s="152" customFormat="1" x14ac:dyDescent="0.25"/>
    <row r="2779" s="152" customFormat="1" x14ac:dyDescent="0.25"/>
    <row r="2805" s="152" customFormat="1" x14ac:dyDescent="0.25"/>
    <row r="2829" s="152" customFormat="1" x14ac:dyDescent="0.25"/>
    <row r="2840" s="152" customFormat="1" x14ac:dyDescent="0.25"/>
    <row r="2875" s="152" customFormat="1" x14ac:dyDescent="0.25"/>
    <row r="2897" s="152" customFormat="1" x14ac:dyDescent="0.25"/>
    <row r="2934" s="152" customFormat="1" x14ac:dyDescent="0.25"/>
    <row r="2991" s="152" customFormat="1" x14ac:dyDescent="0.25"/>
    <row r="3007" s="152" customFormat="1" x14ac:dyDescent="0.25"/>
    <row r="3049" s="152" customFormat="1" x14ac:dyDescent="0.25"/>
    <row r="3091" s="152" customFormat="1" x14ac:dyDescent="0.25"/>
    <row r="3115" s="152" customFormat="1" x14ac:dyDescent="0.25"/>
    <row r="3129" s="152" customFormat="1" x14ac:dyDescent="0.25"/>
    <row r="3132" s="152" customFormat="1" x14ac:dyDescent="0.25"/>
    <row r="3183" s="152" customFormat="1" x14ac:dyDescent="0.25"/>
    <row r="3244" s="152" customFormat="1" x14ac:dyDescent="0.25"/>
    <row r="3266" s="152" customFormat="1" x14ac:dyDescent="0.25"/>
    <row r="3276" s="152" customFormat="1" x14ac:dyDescent="0.25"/>
    <row r="3295" s="152" customFormat="1" x14ac:dyDescent="0.25"/>
    <row r="3302" s="152" customFormat="1" x14ac:dyDescent="0.25"/>
    <row r="3323" s="152" customFormat="1" x14ac:dyDescent="0.25"/>
    <row r="3408" s="152" customFormat="1" x14ac:dyDescent="0.25"/>
    <row r="3443" s="152" customFormat="1" x14ac:dyDescent="0.25"/>
    <row r="3475" s="152" customFormat="1" x14ac:dyDescent="0.25"/>
  </sheetData>
  <sheetProtection selectLockedCells="1" selectUnlockedCells="1"/>
  <autoFilter ref="A2:Z90" xr:uid="{00000000-0001-0000-0600-000000000000}">
    <sortState xmlns:xlrd2="http://schemas.microsoft.com/office/spreadsheetml/2017/richdata2" ref="A3:Z104">
      <sortCondition ref="A2:A90"/>
    </sortState>
  </autoFilter>
  <phoneticPr fontId="69" type="noConversion"/>
  <conditionalFormatting sqref="A2716:A3557">
    <cfRule type="duplicateValues" dxfId="4" priority="30"/>
  </conditionalFormatting>
  <conditionalFormatting sqref="A3558:A1048576 A1:A2715">
    <cfRule type="duplicateValues" dxfId="3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تعليمات التسجيل</vt:lpstr>
      <vt:lpstr>أسماء الطلاب</vt:lpstr>
      <vt:lpstr>إدخال البيانات</vt:lpstr>
      <vt:lpstr>اختيار المقررات</vt:lpstr>
      <vt:lpstr>الإستمارة</vt:lpstr>
      <vt:lpstr>leg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lenovo-lap</cp:lastModifiedBy>
  <cp:revision/>
  <cp:lastPrinted>2022-01-06T01:27:12Z</cp:lastPrinted>
  <dcterms:created xsi:type="dcterms:W3CDTF">2015-06-05T18:17:20Z</dcterms:created>
  <dcterms:modified xsi:type="dcterms:W3CDTF">2025-03-03T20:25:02Z</dcterms:modified>
</cp:coreProperties>
</file>